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Concepts" sheetId="2" state="visible" r:id="rId4"/>
    <sheet name="Inputs" sheetId="3" state="visible" r:id="rId5"/>
    <sheet name="Bond_Analytics" sheetId="4" state="visible" r:id="rId6"/>
    <sheet name="Barbell_vs_Bullet" sheetId="5" state="visible" r:id="rId7"/>
    <sheet name="Scenarios" sheetId="6" state="visible" r:id="rId8"/>
    <sheet name="Shift_Curve" sheetId="7" state="visible" r:id="rId9"/>
    <sheet name="Taleb_Barbell" sheetId="8" state="visible" r:id="rId10"/>
    <sheet name="Comparison" sheetId="9" state="visible" r:id="rId11"/>
    <sheet name="Q&amp;A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<sst xmlns="http://schemas.openxmlformats.org/spreadsheetml/2006/main" count="551" uniqueCount="462">
  <si>
    <t xml:space="preserve">ALL ABOUT THE BARBELL STRATEGY</t>
  </si>
  <si>
    <t xml:space="preserve">Fixed-Income Maturity Barbell vs Bullet  •  Duration &amp; Convexity  •  Taleb's Risk Barbell</t>
  </si>
  <si>
    <t xml:space="preserve">Prof. V. Ravichandran — Visiting Professor and Professor of Practice at Leading Business Schools</t>
  </si>
  <si>
    <t xml:space="preserve">The Mountain Path Academy — https://themountainpathacademy.com</t>
  </si>
  <si>
    <t xml:space="preserve">Barbell idea: put the capital at two extreme ends and skip the middle — like a physical barbell, with the weight at both ends and a thin bar in between. The goal is safety plus upside (convexity / optionality).</t>
  </si>
  <si>
    <t xml:space="preserve">Workbook map (click a tab name)</t>
  </si>
  <si>
    <t xml:space="preserve">#</t>
  </si>
  <si>
    <t xml:space="preserve">Tab</t>
  </si>
  <si>
    <t xml:space="preserve">What you will find</t>
  </si>
  <si>
    <t xml:space="preserve">Concepts</t>
  </si>
  <si>
    <t xml:space="preserve">All about the Barbell: the two forms, Macaulay/modified duration, DV01, convexity, the Taylor expansion, why barbells are more convex</t>
  </si>
  <si>
    <t xml:space="preserve">Inputs</t>
  </si>
  <si>
    <t xml:space="preserve">One place for the yield curve, maturities and portfolio size (blue cells = change me)</t>
  </si>
  <si>
    <t xml:space="preserve">Bond_Analytics</t>
  </si>
  <si>
    <t xml:space="preserve">Zero-coupon price, duration, convexity and DV01 for the 2Y, 10Y and 30Y bonds</t>
  </si>
  <si>
    <t xml:space="preserve">Barbell_vs_Bullet</t>
  </si>
  <si>
    <t xml:space="preserve">Duration-matched weights, portfolio yield / duration / convexity, yield drag, breakeven shift, allocation chart</t>
  </si>
  <si>
    <t xml:space="preserve">Scenarios</t>
  </si>
  <si>
    <t xml:space="preserve">Yield-curve shocks: parallel, butterfly, flattening, steepening — Taylor approximation vs exact repricing</t>
  </si>
  <si>
    <t xml:space="preserve">Shift_Curve</t>
  </si>
  <si>
    <t xml:space="preserve">Price-yield curve for −300 to +300 bps parallel shifts: the convexity 'smile', drawn as a chart</t>
  </si>
  <si>
    <t xml:space="preserve">Taleb_Barbell</t>
  </si>
  <si>
    <t xml:space="preserve">Nassim Taleb's 90/10 risk barbell: payoff table, a basket of bets, and regime comparison vs a 'middle-risk' portfolio</t>
  </si>
  <si>
    <t xml:space="preserve">Comparison</t>
  </si>
  <si>
    <t xml:space="preserve">Fixed-income barbell vs Taleb risk barbell vs bullet: side-by-side comparison</t>
  </si>
  <si>
    <t xml:space="preserve">Q&amp;A</t>
  </si>
  <si>
    <t xml:space="preserve">25 questions and answers for revision and class discussion (some answers update with the model)</t>
  </si>
  <si>
    <t xml:space="preserve">Colour legend</t>
  </si>
  <si>
    <t xml:space="preserve">1,000</t>
  </si>
  <si>
    <t xml:space="preserve">Hard-coded input / assumption — change these</t>
  </si>
  <si>
    <t xml:space="preserve">Formula: =C5*2</t>
  </si>
  <si>
    <t xml:space="preserve">Formula on the same sheet</t>
  </si>
  <si>
    <t xml:space="preserve">Link: Inputs!C13</t>
  </si>
  <si>
    <t xml:space="preserve">Formula that links to another sheet</t>
  </si>
  <si>
    <t xml:space="preserve">Convention: zero-coupon bonds with continuous compounding, so Macaulay duration = modified duration = T and convexity = T². This gives exactly the D and C = D² figures used in the worked example (Bullet C = 100, Barbell C ≈ 260). Bond_Analytics also shows the annual-compounding equivalents for comparison.</t>
  </si>
  <si>
    <t xml:space="preserve">LinkedIn</t>
  </si>
  <si>
    <t xml:space="preserve">https://www.linkedin.com/in/trichyravis</t>
  </si>
  <si>
    <t xml:space="preserve">GitHub</t>
  </si>
  <si>
    <t xml:space="preserve">https://github.com/trichyravis</t>
  </si>
  <si>
    <t xml:space="preserve">Prof. V. Ravichandran  |  The Mountain Path Academy  |  https://themountainpathacademy.com</t>
  </si>
  <si>
    <t xml:space="preserve">ALL ABOUT THE BARBELL — CONCEPTS</t>
  </si>
  <si>
    <t xml:space="preserve">Definitions, intuition and the maths of duration and convexity</t>
  </si>
  <si>
    <t xml:space="preserve">1. What is a barbell strategy?</t>
  </si>
  <si>
    <t xml:space="preserve">Definition</t>
  </si>
  <si>
    <t xml:space="preserve">A portfolio approach that puts capital only at the two extreme ends of a spectrum (maturity, or risk) and leaves out the middle completely.</t>
  </si>
  <si>
    <t xml:space="preserve">Analogy</t>
  </si>
  <si>
    <t xml:space="preserve">A physical barbell has its weight at both ends and a thin bar in between. A barbell portfolio puts its capital at two opposite poles to balance safety and upside.</t>
  </si>
  <si>
    <t xml:space="preserve">Two forms</t>
  </si>
  <si>
    <t xml:space="preserve">(a) Fixed-income maturity barbell: short-term + long-term bonds, no intermediate bonds.  (b) Taleb's risk barbell: ultra-safe assets + highly speculative asymmetric bets, no 'medium risk'.</t>
  </si>
  <si>
    <t xml:space="preserve">Opposite: Bullet</t>
  </si>
  <si>
    <t xml:space="preserve">A bullet puts all the cash flows around one maturity (e.g. 100% in 10-year bonds). A ladder spreads them evenly across maturities.</t>
  </si>
  <si>
    <t xml:space="preserve">2. Fixed-income barbell — the mechanics</t>
  </si>
  <si>
    <t xml:space="preserve">Structure</t>
  </si>
  <si>
    <t xml:space="preserve">Example: $10M → 50% in 2Y Treasury notes, 0% in 7–10Y, 50% in 30Y Treasury bonds. To compare fairly with a 10Y bullet, set the weights so the durations match (see Barbell_vs_Bullet).</t>
  </si>
  <si>
    <t xml:space="preserve">Liquidity &amp; reinvestment</t>
  </si>
  <si>
    <t xml:space="preserve">The short end matures quickly. That gives steady liquidity, and the cash can be reinvested at higher rates if yields rise.</t>
  </si>
  <si>
    <t xml:space="preserve">Yield &amp; convexity</t>
  </si>
  <si>
    <t xml:space="preserve">The long end locks in higher long-term yields and has high duration and convexity, so it gains strongly if rates fall sharply.</t>
  </si>
  <si>
    <t xml:space="preserve">Vs Bullet</t>
  </si>
  <si>
    <t xml:space="preserve">At the SAME duration, the barbell has MORE convexity. It gains more when yields fall and loses less when they rise for large parallel moves — but usually at the cost of a lower yield (yield drag) when the curve is upward sloping.</t>
  </si>
  <si>
    <t xml:space="preserve">3. Duration — first-order rate risk</t>
  </si>
  <si>
    <t xml:space="preserve">Macaulay duration</t>
  </si>
  <si>
    <t xml:space="preserve">The PV-weighted average time to receive the cash flows: D_Mac = Σ t·PV(CF_t) / P. For a zero-coupon bond, D_Mac = maturity T.</t>
  </si>
  <si>
    <t xml:space="preserve">Modified duration</t>
  </si>
  <si>
    <t xml:space="preserve">The % price change for a 1-unit change in yield: D_Mod = −(1/P)·dP/dy = D_Mac/(1+y/m). With continuous compounding, D_Mod = D_Mac.</t>
  </si>
  <si>
    <t xml:space="preserve">DV01 / PVBP</t>
  </si>
  <si>
    <t xml:space="preserve">The dollar change for a 1 bp move: DV01 = D_Mod × P × 0.0001. Barbell and bullet with matched duration have the same DV01.</t>
  </si>
  <si>
    <t xml:space="preserve">Portfolio duration</t>
  </si>
  <si>
    <t xml:space="preserve">A market-value-weighted average: D_P = Σ w_i·D_i. This is why 71.43% × 2 + 28.57% × 30 = 10 years.</t>
  </si>
  <si>
    <t xml:space="preserve">4. Convexity — second-order rate risk</t>
  </si>
  <si>
    <t xml:space="preserve">The curvature of the price-yield curve: C = (1/P)·d²P/dy². For a continuously compounded zero, C = T². With annual compounding, C = T(T+1)/(1+y)².</t>
  </si>
  <si>
    <t xml:space="preserve">Taylor expansion</t>
  </si>
  <si>
    <t xml:space="preserve">ΔP/P ≈ −D·Δy + ½·C·(Δy)².  The duration term is linear; the convexity term is always positive (Δy² &gt; 0), so more convexity is always a cushion.</t>
  </si>
  <si>
    <t xml:space="preserve">Portfolio convexity</t>
  </si>
  <si>
    <t xml:space="preserve">Also a weighted average: C_P = Σ w_i·C_i. Because C grows with T², the 30Y wing contributes much more than its weight: 0.2857 × 900 = 257.</t>
  </si>
  <si>
    <t xml:space="preserve">Why the barbell is more convex</t>
  </si>
  <si>
    <t xml:space="preserve">C_P = D_P² + Dispersion, where Dispersion = Σ w_i (T_i − D_P)². A bullet has its cash flows at one point (dispersion ≈ 0); a barbell spreads them as far apart as possible → maximum dispersion → maximum convexity for a given duration.</t>
  </si>
  <si>
    <t xml:space="preserve">5. The trade-off — convexity is not free</t>
  </si>
  <si>
    <t xml:space="preserve">Yield drag</t>
  </si>
  <si>
    <t xml:space="preserve">On an upward-sloping curve, the duration-matched barbell usually yields less than the bullet (4.286% vs 4.50% in the base case = −21.4 bps). The market prices convexity.</t>
  </si>
  <si>
    <t xml:space="preserve">Breakeven move</t>
  </si>
  <si>
    <t xml:space="preserve">Over a horizon, the barbell wins only if ½·ΔC·Δy² &gt; yield drag, i.e. |Δy| &gt; √(2 × drag / ΔC). With these inputs that is about ±52 bps — calculated live on Barbell_vs_Bullet.</t>
  </si>
  <si>
    <t xml:space="preserve">Curve-shape risk</t>
  </si>
  <si>
    <t xml:space="preserve">Duration matching protects only against PARALLEL shifts. The barbell gains when the belly cheapens (positive butterfly) or the long end holds; it loses when the belly rallies (negative butterfly) or under a bear steepener that hits the 30Y.</t>
  </si>
  <si>
    <t xml:space="preserve">Typical use</t>
  </si>
  <si>
    <t xml:space="preserve">When you expect high volatility, a flattening curve, or a rich belly; for liability-driven investors who need near-term liquidity and long-dated hedges.</t>
  </si>
  <si>
    <t xml:space="preserve">6. Taleb's risk barbell (Antifragile)</t>
  </si>
  <si>
    <t xml:space="preserve">Idea</t>
  </si>
  <si>
    <t xml:space="preserve">Combine extreme conservatism (≈85–90% in T-bills, cash, gold) with extreme speculation (≈10–15% in options, start-ups, high-beta bets). No 'middle risk'.</t>
  </si>
  <si>
    <t xml:space="preserve">Why skip the middle?</t>
  </si>
  <si>
    <t xml:space="preserve">Taleb argues that 'medium-risk' assets (mid-caps, junk bonds, REITs) have hidden tail risks: their correlation rises in a crash and their losses are open-ended, while their upside is capped.</t>
  </si>
  <si>
    <t xml:space="preserve">Payoff profile</t>
  </si>
  <si>
    <t xml:space="preserve">Worst case: the speculative bucket goes to zero and the portfolio keeps ≈90% (plus the T-bill interest). Best case: one or two 20x–50x winners produce outsized returns. The downside is bounded and the upside convex = antifragile.</t>
  </si>
  <si>
    <t xml:space="preserve">Caveats</t>
  </si>
  <si>
    <t xml:space="preserve">Speculative bets bleed value in most years; you need discipline, diversification across many small bets, and a truly safe 'safe' bucket (inflation and sovereign risk still matter).</t>
  </si>
  <si>
    <t xml:space="preserve">7. Formula sheet</t>
  </si>
  <si>
    <t xml:space="preserve">Measure</t>
  </si>
  <si>
    <t xml:space="preserve">Formula</t>
  </si>
  <si>
    <t xml:space="preserve">Bullet (10Y zero)</t>
  </si>
  <si>
    <t xml:space="preserve">Barbell (2Y / 30Y)</t>
  </si>
  <si>
    <t xml:space="preserve">Duration-matching weight</t>
  </si>
  <si>
    <t xml:space="preserve">w_S = (T_L − D*) / (T_L − T_S)</t>
  </si>
  <si>
    <t xml:space="preserve">Portfolio yield</t>
  </si>
  <si>
    <t xml:space="preserve">Y_P = Σ w_i y_i</t>
  </si>
  <si>
    <t xml:space="preserve">D_P = Σ w_i D_i</t>
  </si>
  <si>
    <t xml:space="preserve">C_P = Σ w_i C_i   (C_i = T_i²)</t>
  </si>
  <si>
    <t xml:space="preserve">Price change</t>
  </si>
  <si>
    <t xml:space="preserve">ΔP/P ≈ −D·Δy + ½·C·Δy²</t>
  </si>
  <si>
    <t xml:space="preserve">see Scenarios</t>
  </si>
  <si>
    <t xml:space="preserve">Exact (continuous zero)</t>
  </si>
  <si>
    <t xml:space="preserve">ΔP/P = e^(−T·Δy) − 1</t>
  </si>
  <si>
    <t xml:space="preserve">see Shift_Curve</t>
  </si>
  <si>
    <t xml:space="preserve">INPUTS — MARKET &amp; PORTFOLIO ASSUMPTIONS</t>
  </si>
  <si>
    <t xml:space="preserve">Change the blue cells; every other tab recalculates</t>
  </si>
  <si>
    <t xml:space="preserve">Portfolio &amp; maturities</t>
  </si>
  <si>
    <t xml:space="preserve">Assumption</t>
  </si>
  <si>
    <t xml:space="preserve">Value</t>
  </si>
  <si>
    <t xml:space="preserve">Source / note</t>
  </si>
  <si>
    <t xml:space="preserve">Portfolio size ($) — each portfolio</t>
  </si>
  <si>
    <t xml:space="preserve">Worked example: two equal-dollar portfolios of $100M</t>
  </si>
  <si>
    <t xml:space="preserve">Short-end maturity T_S (years)</t>
  </si>
  <si>
    <t xml:space="preserve">2-Year Treasury (zero-coupon)</t>
  </si>
  <si>
    <t xml:space="preserve">Bullet / intermediate maturity T_M (years)</t>
  </si>
  <si>
    <t xml:space="preserve">10-Year Treasury (zero-coupon) — the bullet</t>
  </si>
  <si>
    <t xml:space="preserve">Long-end maturity T_L (years)</t>
  </si>
  <si>
    <t xml:space="preserve">30-Year Treasury (zero-coupon)</t>
  </si>
  <si>
    <t xml:space="preserve">Base-case spot yield curve (continuously compounded)</t>
  </si>
  <si>
    <t xml:space="preserve">2-Year spot rate y₂</t>
  </si>
  <si>
    <t xml:space="preserve">Illustrative upward-sloping curve from the worked example (user-supplied)</t>
  </si>
  <si>
    <t xml:space="preserve">10-Year spot rate y₁₀</t>
  </si>
  <si>
    <t xml:space="preserve">30-Year spot rate y₃₀</t>
  </si>
  <si>
    <t xml:space="preserve">Derived</t>
  </si>
  <si>
    <t xml:space="preserve">Target duration D* (= bullet maturity)</t>
  </si>
  <si>
    <t xml:space="preserve">Barbell weights are solved to match this duration</t>
  </si>
  <si>
    <t xml:space="preserve">Curve slope 2s30s (bps)</t>
  </si>
  <si>
    <t xml:space="preserve">A positive slope means the barbell gives up yield to the bullet (yield drag)</t>
  </si>
  <si>
    <t xml:space="preserve">Conventions: zero-coupon bonds, continuous compounding (P = 100·e^(−yT)), so D = T and C = T². Shocks on the Scenarios tab are entered in basis points (1 bp = 0.01%). Constraint: T_S &lt; T_M &lt; T_L so the weights stay between 0 and 100%.</t>
  </si>
  <si>
    <t xml:space="preserve">BOND ANALYTICS — ZERO-COUPON BUILDING BLOCKS</t>
  </si>
  <si>
    <t xml:space="preserve">Price, duration, convexity and DV01 for each maturity bucket</t>
  </si>
  <si>
    <t xml:space="preserve">Continuous compounding (model convention)  |  annual compounding shown for comparison</t>
  </si>
  <si>
    <t xml:space="preserve">Bond</t>
  </si>
  <si>
    <t xml:space="preserve">Maturity T (yrs)</t>
  </si>
  <si>
    <t xml:space="preserve">Spot yield y</t>
  </si>
  <si>
    <t xml:space="preserve">Price per 100
=100·e^(−yT)</t>
  </si>
  <si>
    <t xml:space="preserve">Macaulay D
(= T)</t>
  </si>
  <si>
    <t xml:space="preserve">Modified D
(= T, cont.)</t>
  </si>
  <si>
    <t xml:space="preserve">Convexity
(= T²)</t>
  </si>
  <si>
    <t xml:space="preserve">DV01 per $1M
= 1M·D·0.0001</t>
  </si>
  <si>
    <t xml:space="preserve">Mod. D (annual)
= T/(1+y)</t>
  </si>
  <si>
    <t xml:space="preserve">Convexity (annual)
= T(T+1)/(1+y)²</t>
  </si>
  <si>
    <t xml:space="preserve">Short end (2Y)</t>
  </si>
  <si>
    <t xml:space="preserve">Intermediate / Bullet (10Y)</t>
  </si>
  <si>
    <t xml:space="preserve">Long end (30Y)</t>
  </si>
  <si>
    <t xml:space="preserve">Why D = T for a zero: there is a single cash flow at T, so the PV-weighted average time is T. Convexity grows with the SQUARE of maturity, so the 30Y bond has 9× the convexity of the 10Y (900 vs 100) but only 3× its duration — that non-linearity is the engine of the barbell.</t>
  </si>
  <si>
    <t xml:space="preserve">Numerical check of duration &amp; convexity (finite differences, ±1 bp bump)</t>
  </si>
  <si>
    <t xml:space="preserve">P(y−1bp)</t>
  </si>
  <si>
    <t xml:space="preserve">P(y)</t>
  </si>
  <si>
    <t xml:space="preserve">P(y+1bp)</t>
  </si>
  <si>
    <t xml:space="preserve">Eff. duration
(P₋−P₊)/(2P·Δy)</t>
  </si>
  <si>
    <t xml:space="preserve">Eff. convexity
(P₋+P₊−2P)/(P·Δy²)</t>
  </si>
  <si>
    <t xml:space="preserve">Matches T?</t>
  </si>
  <si>
    <t xml:space="preserve">Matches T²?</t>
  </si>
  <si>
    <t xml:space="preserve">BARBELL vs BULLET — DURATION-MATCHED COMPARISON</t>
  </si>
  <si>
    <t xml:space="preserve">Same dollars, same duration — different convexity, yield and curve exposure</t>
  </si>
  <si>
    <t xml:space="preserve">Step 1 — Solve the barbell weights so its duration equals the bullet's</t>
  </si>
  <si>
    <t xml:space="preserve">Equation:  w_S·T_S + (1 − w_S)·T_L = D*   ⇒   w_S = (T_L − D*) / (T_L − T_S)</t>
  </si>
  <si>
    <t xml:space="preserve">Target duration D* (years)</t>
  </si>
  <si>
    <t xml:space="preserve">Short-end weight w_S</t>
  </si>
  <si>
    <t xml:space="preserve">Long-end weight w_L = 1 − w_S</t>
  </si>
  <si>
    <t xml:space="preserve">Check: barbell duration (years)</t>
  </si>
  <si>
    <t xml:space="preserve">Step 2 — Portfolio structures</t>
  </si>
  <si>
    <t xml:space="preserve">Maturity bucket</t>
  </si>
  <si>
    <t xml:space="preserve">Maturity (yrs)</t>
  </si>
  <si>
    <t xml:space="preserve">Bullet weight</t>
  </si>
  <si>
    <t xml:space="preserve">Barbell weight</t>
  </si>
  <si>
    <t xml:space="preserve">Bullet ($)</t>
  </si>
  <si>
    <t xml:space="preserve">Barbell ($)</t>
  </si>
  <si>
    <t xml:space="preserve">Total</t>
  </si>
  <si>
    <t xml:space="preserve">Bullet weights (blue) are inputs: 100% in the 10Y by default. The barbell has 0% in the intermediate bucket by design.</t>
  </si>
  <si>
    <t xml:space="preserve">Step 3 — Portfolio metrics</t>
  </si>
  <si>
    <t xml:space="preserve">Metric</t>
  </si>
  <si>
    <t xml:space="preserve">Bullet</t>
  </si>
  <si>
    <t xml:space="preserve">Barbell</t>
  </si>
  <si>
    <t xml:space="preserve">Barbell − Bullet</t>
  </si>
  <si>
    <t xml:space="preserve">Interpretation</t>
  </si>
  <si>
    <t xml:space="preserve">Negative = yield drag (cost of buying convexity)</t>
  </si>
  <si>
    <t xml:space="preserve">Duration (years)</t>
  </si>
  <si>
    <t xml:space="preserve">Matched: same first-order rate risk</t>
  </si>
  <si>
    <t xml:space="preserve">Convexity</t>
  </si>
  <si>
    <t xml:space="preserve">Barbell is far more convex</t>
  </si>
  <si>
    <t xml:space="preserve">Duration squared (D²)</t>
  </si>
  <si>
    <t xml:space="preserve">Same, because the durations match</t>
  </si>
  <si>
    <t xml:space="preserve">Cash-flow dispersion (C − D²)</t>
  </si>
  <si>
    <t xml:space="preserve">Spread of maturities around D — the source of the extra convexity</t>
  </si>
  <si>
    <t xml:space="preserve">DV01 ($ per 1 bp)</t>
  </si>
  <si>
    <t xml:space="preserve">Same dollar sensitivity to a parallel 1 bp move</t>
  </si>
  <si>
    <t xml:space="preserve">Yield drag (bps)</t>
  </si>
  <si>
    <t xml:space="preserve">Barbell's yield shortfall vs the bullet</t>
  </si>
  <si>
    <t xml:space="preserve">Convexity pick-up (%)</t>
  </si>
  <si>
    <t xml:space="preserve">Extra convexity as a % of the bullet's</t>
  </si>
  <si>
    <t xml:space="preserve">Breakeven parallel shift (bps), 1-year horizon</t>
  </si>
  <si>
    <t xml:space="preserve">½·ΔC·Δy² = yield drag ⇒ |Δy| = √(2·drag/ΔC). Moves larger than this favour the barbell.</t>
  </si>
  <si>
    <t xml:space="preserve">Your $10M example — 50% in 2Y / 50% in 30Y (not duration-matched)</t>
  </si>
  <si>
    <t xml:space="preserve">Investment ($)</t>
  </si>
  <si>
    <t xml:space="preserve">Short-end share</t>
  </si>
  <si>
    <t xml:space="preserve">Item</t>
  </si>
  <si>
    <t xml:space="preserve">2Y bond</t>
  </si>
  <si>
    <t xml:space="preserve">30Y bond</t>
  </si>
  <si>
    <t xml:space="preserve">Portfolio</t>
  </si>
  <si>
    <t xml:space="preserve">Compare: 10Y bullet</t>
  </si>
  <si>
    <t xml:space="preserve">Allocation ($)</t>
  </si>
  <si>
    <t xml:space="preserve">Yield</t>
  </si>
  <si>
    <t xml:space="preserve">Verdict</t>
  </si>
  <si>
    <t xml:space="preserve">YIELD-CURVE SCENARIOS — BULLET vs BARBELL</t>
  </si>
  <si>
    <t xml:space="preserve">Instantaneous shocks. Taylor: ΔP/P ≈ −D·Δy + ½·C·Δy²  |  Exact: e^(−T·Δy) − 1  |  1-yr total ≈ yield (carry) + price change</t>
  </si>
  <si>
    <t xml:space="preserve">Shocks in blue (bps) — edit or add your own; returns are computed bucket by bucket and weighted by the portfolio weights</t>
  </si>
  <si>
    <t xml:space="preserve">Yield change (bps)</t>
  </si>
  <si>
    <t xml:space="preserve">Bucket price return (Taylor)</t>
  </si>
  <si>
    <t xml:space="preserve">Price return (Taylor)</t>
  </si>
  <si>
    <t xml:space="preserve">Indicative 1-yr total return</t>
  </si>
  <si>
    <t xml:space="preserve">$ P&amp;L on total return</t>
  </si>
  <si>
    <t xml:space="preserve">Exact repricing</t>
  </si>
  <si>
    <t xml:space="preserve">Scenario</t>
  </si>
  <si>
    <t xml:space="preserve">Curve move</t>
  </si>
  <si>
    <t xml:space="preserve">Δy 2Y</t>
  </si>
  <si>
    <t xml:space="preserve">Δy 10Y</t>
  </si>
  <si>
    <t xml:space="preserve">Δy 30Y</t>
  </si>
  <si>
    <t xml:space="preserve">2Y</t>
  </si>
  <si>
    <t xml:space="preserve">10Y</t>
  </si>
  <si>
    <t xml:space="preserve">30Y</t>
  </si>
  <si>
    <t xml:space="preserve">Winner</t>
  </si>
  <si>
    <t xml:space="preserve">Core driver</t>
  </si>
  <si>
    <t xml:space="preserve">Base case (unchanged rates)</t>
  </si>
  <si>
    <t xml:space="preserve">No change</t>
  </si>
  <si>
    <t xml:space="preserve">Higher yield, no convexity needed → bullet earns its carry advantage</t>
  </si>
  <si>
    <t xml:space="preserve">Scenario A: +200 bps parallel</t>
  </si>
  <si>
    <t xml:space="preserve">Parallel up</t>
  </si>
  <si>
    <t xml:space="preserve">Convexity cushion ½·C·Δy² (0.052 vs 0.020) outweighs the yield drag</t>
  </si>
  <si>
    <t xml:space="preserve">Scenario B: Positive butterfly</t>
  </si>
  <si>
    <t xml:space="preserve">Belly cheapens</t>
  </si>
  <si>
    <t xml:space="preserve">Barbell has zero exposure to the 10Y belly spike</t>
  </si>
  <si>
    <t xml:space="preserve">Scenario C: Bear flattening</t>
  </si>
  <si>
    <t xml:space="preserve">Short end up</t>
  </si>
  <si>
    <t xml:space="preserve">28.57% anchored in the unchanged 30Y; the 2Y has low duration</t>
  </si>
  <si>
    <t xml:space="preserve">Scenario D: −200 bps parallel</t>
  </si>
  <si>
    <t xml:space="preserve">Parallel down</t>
  </si>
  <si>
    <t xml:space="preserve">Convexity adds to gains when rates fall — the barbell rallies more</t>
  </si>
  <si>
    <t xml:space="preserve">Scenario E: +50 bps parallel</t>
  </si>
  <si>
    <t xml:space="preserve">Small parallel</t>
  </si>
  <si>
    <t xml:space="preserve">A move below breakeven: the convexity gain is smaller than the yield drag → bullet</t>
  </si>
  <si>
    <t xml:space="preserve">Scenario F: Negative butterfly</t>
  </si>
  <si>
    <t xml:space="preserve">Belly richens</t>
  </si>
  <si>
    <t xml:space="preserve">Belly rallies; the bullet owns all of it → barbell lags</t>
  </si>
  <si>
    <t xml:space="preserve">Scenario G: Bear steepening</t>
  </si>
  <si>
    <t xml:space="preserve">Long end up</t>
  </si>
  <si>
    <t xml:space="preserve">The 30Y wing (D = 30) takes the hit → barbell loses</t>
  </si>
  <si>
    <t xml:space="preserve">Scenario H: Bull steepening</t>
  </si>
  <si>
    <t xml:space="preserve">Short end down</t>
  </si>
  <si>
    <t xml:space="preserve">Short end rallies, but the 2Y has low duration; the 10Y gains more → bullet</t>
  </si>
  <si>
    <t xml:space="preserve">Worked-example check — price returns from the attached solution (Taylor)</t>
  </si>
  <si>
    <t xml:space="preserve">Bullet (model)</t>
  </si>
  <si>
    <t xml:space="preserve">Barbell (model)</t>
  </si>
  <si>
    <t xml:space="preserve">Outperformance</t>
  </si>
  <si>
    <t xml:space="preserve">Reported bullet</t>
  </si>
  <si>
    <t xml:space="preserve">Reported barbell</t>
  </si>
  <si>
    <t xml:space="preserve">Match?</t>
  </si>
  <si>
    <t xml:space="preserve">Reported figures (blue) come from the user-supplied worked example. Scenario A and all three barbell figures agree. The reported BULLET figures for B and C contain an arithmetic slip in the convexity term: in B, ½×100×(0.0100)² = 0.0050 (not 0.0005), so the bullet loses −9.50%, not −9.95%; in C, ½×100×(0.0050)² = 0.00125 (not 0.000125), so −4.875%, not −4.99%. The corrected outperformance is ≈ +7.08% (B) and ≈ +2.76% (C). The conclusions (barbell wins) are unchanged.</t>
  </si>
  <si>
    <t xml:space="preserve">Total return = yield (1-yr carry) + instantaneous price change: an indicative approximation that ignores roll-down and reinvestment. Exact repricing shows the Taylor error, which is small for ±25–100 bps and grows for the 30Y at ±200 bps (third-order terms).</t>
  </si>
  <si>
    <t xml:space="preserve">PRICE–YIELD CURVE — PARALLEL SHIFTS</t>
  </si>
  <si>
    <t xml:space="preserve">Exact repricing of the duration-matched portfolios: the convexity 'smile'</t>
  </si>
  <si>
    <t xml:space="preserve">Start (bps)</t>
  </si>
  <si>
    <t xml:space="preserve">Step (bps)</t>
  </si>
  <si>
    <t xml:space="preserve">Parallel shift (bps)</t>
  </si>
  <si>
    <t xml:space="preserve">Bullet ΔP/P (exact)</t>
  </si>
  <si>
    <t xml:space="preserve">Barbell ΔP/P (exact)</t>
  </si>
  <si>
    <t xml:space="preserve">Duration-only line
−D*·Δy</t>
  </si>
  <si>
    <t xml:space="preserve">Barbell − Bullet
(price)</t>
  </si>
  <si>
    <t xml:space="preserve">Barbell − Bullet
net of 1-yr yield drag</t>
  </si>
  <si>
    <t xml:space="preserve">Favours</t>
  </si>
  <si>
    <t xml:space="preserve">Reading the table: both portfolios lie ABOVE the straight duration line (positive convexity), and the barbell lies above the bullet everywhere — its price advantage is always ≥ 0 for parallel moves. Net of the 1-yr yield drag, the bullet wins inside roughly ±breakeven bps (see Barbell_vs_Bullet!E28) and the barbell wins outside it.</t>
  </si>
  <si>
    <t xml:space="preserve">TALEB'S RISK BARBELL — ANTIFRAGILE PORTFOLIO</t>
  </si>
  <si>
    <t xml:space="preserve">90% extreme safety + 10% extreme speculation, 0% 'middle risk'</t>
  </si>
  <si>
    <t xml:space="preserve">Total capital ($)</t>
  </si>
  <si>
    <t xml:space="preserve">User example: $100,000 portfolio</t>
  </si>
  <si>
    <t xml:space="preserve">Ultra-safe share (T-bills, gold, cash)</t>
  </si>
  <si>
    <t xml:space="preserve">Taleb: 85–90% in 'boring' assets</t>
  </si>
  <si>
    <t xml:space="preserve">Medium-risk share</t>
  </si>
  <si>
    <t xml:space="preserve">Deliberately 0% — the 'middle' is skipped</t>
  </si>
  <si>
    <t xml:space="preserve">Safe-bucket 1-yr return</t>
  </si>
  <si>
    <t xml:space="preserve">Assumption: short-term T-bill yield (illustrative)</t>
  </si>
  <si>
    <t xml:space="preserve">Speculative share (options, start-ups, crypto)</t>
  </si>
  <si>
    <t xml:space="preserve">1 − safe − medium</t>
  </si>
  <si>
    <t xml:space="preserve">A. Allocation</t>
  </si>
  <si>
    <t xml:space="preserve">Bucket</t>
  </si>
  <si>
    <t xml:space="preserve">Weight</t>
  </si>
  <si>
    <t xml:space="preserve">Amount ($)</t>
  </si>
  <si>
    <t xml:space="preserve">Max loss ($)</t>
  </si>
  <si>
    <t xml:space="preserve">Max loss (% of total)</t>
  </si>
  <si>
    <t xml:space="preserve">Ultra-safe (extreme conservatism)</t>
  </si>
  <si>
    <t xml:space="preserve">Medium risk</t>
  </si>
  <si>
    <t xml:space="preserve">High-risk / asymmetric upside</t>
  </si>
  <si>
    <t xml:space="preserve">Max loss: the safe bucket is treated as capital-safe (0% loss); the speculative bucket can lose 100%. The medium-risk bucket is shown with an illustrative 50% tail loss to make the point — that loss is open-ended, which is why Taleb sets it to 0%.</t>
  </si>
  <si>
    <t xml:space="preserve">B. Payoff profile — what if the speculative bucket returns k× its capital?</t>
  </si>
  <si>
    <t xml:space="preserve">Outcome</t>
  </si>
  <si>
    <t xml:space="preserve">Multiple k (×)</t>
  </si>
  <si>
    <t xml:space="preserve">Safe bucket value ($)</t>
  </si>
  <si>
    <t xml:space="preserve">Speculative value ($)</t>
  </si>
  <si>
    <t xml:space="preserve">Portfolio value ($)</t>
  </si>
  <si>
    <t xml:space="preserve">Portfolio return</t>
  </si>
  <si>
    <t xml:space="preserve">Capital preserved</t>
  </si>
  <si>
    <t xml:space="preserve">Worst case — all bets go to zero</t>
  </si>
  <si>
    <t xml:space="preserve">Heavy losses</t>
  </si>
  <si>
    <t xml:space="preserve">Break-even bets</t>
  </si>
  <si>
    <t xml:space="preserve">Modest win</t>
  </si>
  <si>
    <t xml:space="preserve">Good year</t>
  </si>
  <si>
    <t xml:space="preserve">One big winner</t>
  </si>
  <si>
    <t xml:space="preserve">Best case (20x)</t>
  </si>
  <si>
    <t xml:space="preserve">Best case (50x)</t>
  </si>
  <si>
    <t xml:space="preserve">Break-even multiple (portfolio return = 0)</t>
  </si>
  <si>
    <t xml:space="preserve">The T-bill interest on the safe bucket pays for part of the speculative losses</t>
  </si>
  <si>
    <t xml:space="preserve">C. A basket of 10 small bets — one big winner pays for many losers</t>
  </si>
  <si>
    <t xml:space="preserve">Bet</t>
  </si>
  <si>
    <t xml:space="preserve">Capital ($)</t>
  </si>
  <si>
    <t xml:space="preserve">Outcome multiple (×)</t>
  </si>
  <si>
    <t xml:space="preserve">Payoff ($)</t>
  </si>
  <si>
    <t xml:space="preserve">Profit ($)</t>
  </si>
  <si>
    <t xml:space="preserve">Bet 1</t>
  </si>
  <si>
    <t xml:space="preserve">Bet 2</t>
  </si>
  <si>
    <t xml:space="preserve">Bet 3</t>
  </si>
  <si>
    <t xml:space="preserve">Bet 4</t>
  </si>
  <si>
    <t xml:space="preserve">Bet 5</t>
  </si>
  <si>
    <t xml:space="preserve">Bet 6</t>
  </si>
  <si>
    <t xml:space="preserve">Bet 7</t>
  </si>
  <si>
    <t xml:space="preserve">Bet 8</t>
  </si>
  <si>
    <t xml:space="preserve">Bet 9</t>
  </si>
  <si>
    <t xml:space="preserve">Bet 10</t>
  </si>
  <si>
    <t xml:space="preserve">Speculative bucket total</t>
  </si>
  <si>
    <t xml:space="preserve">Bets that lost money</t>
  </si>
  <si>
    <t xml:space="preserve">Portfolio value (safe + basket) ($)</t>
  </si>
  <si>
    <t xml:space="preserve">D. Regime comparison — Taleb barbell vs a 100% 'middle-risk' portfolio</t>
  </si>
  <si>
    <t xml:space="preserve">Market regime</t>
  </si>
  <si>
    <t xml:space="preserve">Middle-risk return</t>
  </si>
  <si>
    <t xml:space="preserve">Spec. multiple (×)</t>
  </si>
  <si>
    <t xml:space="preserve">Safe-bucket return</t>
  </si>
  <si>
    <t xml:space="preserve">Barbell value ($)</t>
  </si>
  <si>
    <t xml:space="preserve">Middle-risk value ($)</t>
  </si>
  <si>
    <t xml:space="preserve">Barbell − Middle ($)</t>
  </si>
  <si>
    <t xml:space="preserve">Black-swan crash</t>
  </si>
  <si>
    <t xml:space="preserve">Bad year</t>
  </si>
  <si>
    <t xml:space="preserve">Normal year</t>
  </si>
  <si>
    <t xml:space="preserve">Boom / positive black swan</t>
  </si>
  <si>
    <t xml:space="preserve">Worst-case value</t>
  </si>
  <si>
    <t xml:space="preserve">Max drawdown vs starting capital</t>
  </si>
  <si>
    <t xml:space="preserve">Regime returns and multiples (blue) are illustrative assumptions for teaching, not forecasts. Note the asymmetry: the barbell gives up a little in normal years but caps the crash loss and keeps the explosive upside.</t>
  </si>
  <si>
    <t xml:space="preserve">STRATEGY COMPARISON</t>
  </si>
  <si>
    <t xml:space="preserve">Fixed-income barbell vs Taleb risk barbell (+ the bullet as reference)</t>
  </si>
  <si>
    <t xml:space="preserve">Feature</t>
  </si>
  <si>
    <t xml:space="preserve">Fixed-income barbell</t>
  </si>
  <si>
    <t xml:space="preserve">Taleb risk barbell</t>
  </si>
  <si>
    <t xml:space="preserve">Bullet (reference)</t>
  </si>
  <si>
    <t xml:space="preserve">Short pole</t>
  </si>
  <si>
    <t xml:space="preserve">Short-term bonds (e.g. 1–3 years)</t>
  </si>
  <si>
    <t xml:space="preserve">Safe havens (cash, T-bills, gold)</t>
  </si>
  <si>
    <t xml:space="preserve">— (single maturity)</t>
  </si>
  <si>
    <t xml:space="preserve">Long pole</t>
  </si>
  <si>
    <t xml:space="preserve">Long-term bonds (e.g. 20–30 years)</t>
  </si>
  <si>
    <t xml:space="preserve">High-upside asymmetric bets (options, start-ups)</t>
  </si>
  <si>
    <t xml:space="preserve">—</t>
  </si>
  <si>
    <t xml:space="preserve">Excluded area</t>
  </si>
  <si>
    <t xml:space="preserve">Intermediate-term bonds (e.g. 7–10 years)</t>
  </si>
  <si>
    <t xml:space="preserve">Moderate-risk equities / corporate debt</t>
  </si>
  <si>
    <t xml:space="preserve">Everything except the target maturity</t>
  </si>
  <si>
    <t xml:space="preserve">Primary goal</t>
  </si>
  <si>
    <t xml:space="preserve">Yield-curve positioning &amp; convexity capture</t>
  </si>
  <si>
    <t xml:space="preserve">Tail-risk protection &amp; upside optionality</t>
  </si>
  <si>
    <t xml:space="preserve">Target a specific horizon / liability date</t>
  </si>
  <si>
    <t xml:space="preserve">Risk being managed</t>
  </si>
  <si>
    <t xml:space="preserve">Interest-rate risk (duration, convexity, curve shape)</t>
  </si>
  <si>
    <t xml:space="preserve">Model risk &amp; fat tails (unknown unknowns)</t>
  </si>
  <si>
    <t xml:space="preserve">Interest-rate risk at one point on the curve</t>
  </si>
  <si>
    <t xml:space="preserve">Key metrics</t>
  </si>
  <si>
    <t xml:space="preserve">Duration, convexity, DV01, key-rate durations, yield drag</t>
  </si>
  <si>
    <t xml:space="preserve">Max drawdown, payoff asymmetry, % capital at risk</t>
  </si>
  <si>
    <t xml:space="preserve">Duration, DV01, yield</t>
  </si>
  <si>
    <t xml:space="preserve">Payoff shape</t>
  </si>
  <si>
    <t xml:space="preserve">Convex in yields: gains more / loses less for large parallel moves</t>
  </si>
  <si>
    <t xml:space="preserve">Convex in outcomes: bounded loss, unbounded gain</t>
  </si>
  <si>
    <t xml:space="preserve">Less convex; best when rates stay put</t>
  </si>
  <si>
    <t xml:space="preserve">Cost of the strategy</t>
  </si>
  <si>
    <t xml:space="preserve">Yield drag on an upward-sloping curve; curve-twist risk</t>
  </si>
  <si>
    <t xml:space="preserve">Steady bleed from speculative bets in calm years</t>
  </si>
  <si>
    <t xml:space="preserve">Gives up convexity</t>
  </si>
  <si>
    <t xml:space="preserve">Works best when</t>
  </si>
  <si>
    <t xml:space="preserve">High rate volatility; curve flattening; rich belly / cheap wings</t>
  </si>
  <si>
    <t xml:space="preserve">Crisis or regime change; rare extreme winners</t>
  </si>
  <si>
    <t xml:space="preserve">Stable rates; steep curve with belly carry and roll-down</t>
  </si>
  <si>
    <t xml:space="preserve">Fails when</t>
  </si>
  <si>
    <t xml:space="preserve">Rates are calm (carry lost); bear steepening; negative butterfly</t>
  </si>
  <si>
    <t xml:space="preserve">Long calm periods; 'safe' assets turn out not to be safe</t>
  </si>
  <si>
    <t xml:space="preserve">Large moves; belly-specific sell-off</t>
  </si>
  <si>
    <t xml:space="preserve">Typical users</t>
  </si>
  <si>
    <t xml:space="preserve">Bond PMs, insurers &amp; pension funds (ALM), bank treasuries</t>
  </si>
  <si>
    <t xml:space="preserve">Tail-risk funds, VCs, individual 'antifragile' investors</t>
  </si>
  <si>
    <t xml:space="preserve">Investors matching a known future liability</t>
  </si>
  <si>
    <t xml:space="preserve">Live numbers</t>
  </si>
  <si>
    <t xml:space="preserve">Q &amp; A — BARBELL, DURATION &amp; CONVEXITY</t>
  </si>
  <si>
    <t xml:space="preserve">For revision and class discussion. Answers in green update with the model.</t>
  </si>
  <si>
    <t xml:space="preserve">Topic</t>
  </si>
  <si>
    <t xml:space="preserve">Question</t>
  </si>
  <si>
    <t xml:space="preserve">Answer</t>
  </si>
  <si>
    <t xml:space="preserve">See tab</t>
  </si>
  <si>
    <t xml:space="preserve">Basics</t>
  </si>
  <si>
    <t xml:space="preserve">What is a barbell strategy in one sentence?</t>
  </si>
  <si>
    <t xml:space="preserve">Capital is put only at the two extreme ends of a spectrum (very short and very long maturities, or ultra-safe and highly speculative assets), and the middle is skipped.</t>
  </si>
  <si>
    <t xml:space="preserve">How does a barbell differ from a bullet and a ladder?</t>
  </si>
  <si>
    <t xml:space="preserve">Bullet: cash flows concentrated at one maturity (e.g. 100% 10Y). Ladder: spread evenly across maturities. Barbell: concentrated at two distant maturities with nothing in between.</t>
  </si>
  <si>
    <t xml:space="preserve">Duration</t>
  </si>
  <si>
    <t xml:space="preserve">Why is the Macaulay duration of a zero-coupon bond equal to its maturity?</t>
  </si>
  <si>
    <t xml:space="preserve">It has a single cash flow at T, so the PV-weighted average time to receive the cash flows is simply T.</t>
  </si>
  <si>
    <t xml:space="preserve">Macaulay vs modified duration?</t>
  </si>
  <si>
    <t xml:space="preserve">Macaulay = weighted average time (years). Modified = % price sensitivity to yield = D_Mac/(1+y/m). With continuous compounding they are equal.</t>
  </si>
  <si>
    <t xml:space="preserve">How are the duration-matching barbell weights derived?</t>
  </si>
  <si>
    <t xml:space="preserve">If the durations match, do the two portfolios have the same rate risk?</t>
  </si>
  <si>
    <t xml:space="preserve">Only for small PARALLEL shifts (same DV01). For large moves convexity matters, and for non-parallel moves the exposures differ completely: the bullet is all belly, the barbell is all wings.</t>
  </si>
  <si>
    <t xml:space="preserve">What is convexity and why is it valuable?</t>
  </si>
  <si>
    <t xml:space="preserve">The curvature of the price-yield curve. The ½·C·Δy² term is always positive, so higher convexity means bigger gains when yields fall and smaller losses when they rise.</t>
  </si>
  <si>
    <t xml:space="preserve">Why does the barbell have more convexity than a bullet of the same duration?</t>
  </si>
  <si>
    <t xml:space="preserve">Convexity = D² + dispersion of cash-flow timing. Both have D² = 100, but the barbell's cash flows (2Y and 30Y) are far from 10Y, so its dispersion is large; the bullet's is zero.</t>
  </si>
  <si>
    <t xml:space="preserve">What are the portfolio convexities here?</t>
  </si>
  <si>
    <t xml:space="preserve">Why does the 30Y bond dominate the barbell's convexity?</t>
  </si>
  <si>
    <t xml:space="preserve">Convexity scales with T². The 30Y has C = 900 vs 4 for the 2Y, so 28.57% × 900 ≈ 257 of the total ≈ 260.</t>
  </si>
  <si>
    <t xml:space="preserve">Trade-off</t>
  </si>
  <si>
    <t xml:space="preserve">What is yield drag?</t>
  </si>
  <si>
    <t xml:space="preserve">How big a parallel move does the barbell need to beat the bullet over one year?</t>
  </si>
  <si>
    <t xml:space="preserve">Why does the barbell win in a +200 bps parallel shift?</t>
  </si>
  <si>
    <t xml:space="preserve">Both lose 20% from duration, but the convexity offset is ½×260×0.0004 = 5.2% for the barbell vs 2.0% for the bullet → about −14.8% vs −18.0%.</t>
  </si>
  <si>
    <t xml:space="preserve">What happens in a positive butterfly (belly up 100 bps, wings up 25 bps)?</t>
  </si>
  <si>
    <t xml:space="preserve">The bullet holds only the belly: −10×1% + ½×100×(1%)² ≈ −9.50%. The barbell has no belly exposure and loses only ≈ −2.42% → outperformance ≈ +7.1%.</t>
  </si>
  <si>
    <t xml:space="preserve">And in a bear flattening (2Y +150, 10Y +50, 30Y 0)?</t>
  </si>
  <si>
    <t xml:space="preserve">Bullet ≈ −4.875% (−10×0.5% + ½×100×(0.5%)²). Barbell ≈ −2.11%, because the 2Y has low duration and the 30Y is unchanged → outperformance ≈ +2.76%.</t>
  </si>
  <si>
    <t xml:space="preserve">When does the barbell LOSE to the bullet?</t>
  </si>
  <si>
    <t xml:space="preserve">In stable markets (yield drag), in small parallel moves below breakeven, in a negative butterfly (belly rallies) and in a bear steepener that hits the 30Y wing.</t>
  </si>
  <si>
    <t xml:space="preserve">Accuracy</t>
  </si>
  <si>
    <t xml:space="preserve">Why do the Taylor and exact returns differ?</t>
  </si>
  <si>
    <t xml:space="preserve">The Taylor expansion stops at the second order. For the 30Y at ±200 bps the third-order term (−⅙·T³·Δy³) becomes noticeable; exact repricing e^(−TΔy) − 1 captures it.</t>
  </si>
  <si>
    <t xml:space="preserve">Practice</t>
  </si>
  <si>
    <t xml:space="preserve">Is a 50/50 2Y/30Y barbell a fair comparison with a 10Y bullet?</t>
  </si>
  <si>
    <t xml:space="preserve">Who uses fixed-income barbells?</t>
  </si>
  <si>
    <t xml:space="preserve">Bond fund managers expressing curve or volatility views, insurers and pension funds matching short-term liquidity needs and long-dated liabilities, and bank treasuries.</t>
  </si>
  <si>
    <t xml:space="preserve">Taleb</t>
  </si>
  <si>
    <t xml:space="preserve">What is Taleb's barbell?</t>
  </si>
  <si>
    <t xml:space="preserve">About 85–90% in extremely safe assets plus 10–15% in extremely speculative, asymmetric bets, with nothing in 'medium risk'. The downside is bounded and the upside open-ended.</t>
  </si>
  <si>
    <t xml:space="preserve">Why does Taleb avoid medium-risk assets?</t>
  </si>
  <si>
    <t xml:space="preserve">Their risks are hidden in the tails: losses can be large and correlated in a crisis, while the upside is capped. You don't know your worst case.</t>
  </si>
  <si>
    <t xml:space="preserve">What is the worst case for the 90/10 barbell?</t>
  </si>
  <si>
    <t xml:space="preserve">Why spread the speculative 10% across many small bets?</t>
  </si>
  <si>
    <t xml:space="preserve">Asymmetric payoffs are lottery-like: most bets fail and a few pay off hugely. Many small bets raise the odds of catching the rare big winner without raising the maximum loss.</t>
  </si>
  <si>
    <t xml:space="preserve">What does 'antifragile' mean here?</t>
  </si>
  <si>
    <t xml:space="preserve">The portfolio gains from volatility and disorder: shocks can't hurt it beyond a known limit, but they can produce big gains through the convex speculative bucket.</t>
  </si>
  <si>
    <t xml:space="preserve">Link</t>
  </si>
  <si>
    <t xml:space="preserve">What do the two barbells have in common?</t>
  </si>
  <si>
    <t xml:space="preserve">Both deliberately buy CONVEXITY: they give up some expected carry or return in calm conditions in exchange for a payoff that improves sharply in extreme moves.</t>
  </si>
</sst>
</file>

<file path=xl/styles.xml><?xml version="1.0" encoding="utf-8"?>
<styleSheet xmlns="http://schemas.openxmlformats.org/spreadsheetml/2006/main">
  <numFmts count="17">
    <numFmt numFmtId="164" formatCode="General"/>
    <numFmt numFmtId="165" formatCode="\$#,##0;&quot;($&quot;#,##0\);\-"/>
    <numFmt numFmtId="166" formatCode="0&quot; yrs&quot;"/>
    <numFmt numFmtId="167" formatCode="0.00%;\(0.00%\);\-"/>
    <numFmt numFmtId="168" formatCode="0.00&quot; yrs&quot;"/>
    <numFmt numFmtId="169" formatCode="0.0&quot; bps&quot;;\(0.0&quot; bps)&quot;;\-"/>
    <numFmt numFmtId="170" formatCode="0.00"/>
    <numFmt numFmtId="171" formatCode="0.0000"/>
    <numFmt numFmtId="172" formatCode="0.00;\(0.00\);\-"/>
    <numFmt numFmtId="173" formatCode="0.000000"/>
    <numFmt numFmtId="174" formatCode="0"/>
    <numFmt numFmtId="175" formatCode="0.000%;\(0.000%\);\-"/>
    <numFmt numFmtId="176" formatCode="0.0%"/>
    <numFmt numFmtId="177" formatCode="0%"/>
    <numFmt numFmtId="178" formatCode="0.0\×"/>
    <numFmt numFmtId="179" formatCode="0.00\×"/>
    <numFmt numFmtId="180" formatCode="\$#,##0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D700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b val="true"/>
      <sz val="11"/>
      <color rgb="FF003366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u val="single"/>
      <sz val="10"/>
      <color rgb="FF0563C1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i val="true"/>
      <sz val="9"/>
      <color rgb="FF40404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color rgb="FFFFD700"/>
      <name val="Arial"/>
      <family val="0"/>
      <charset val="1"/>
    </font>
    <font>
      <b val="true"/>
      <sz val="10"/>
      <color rgb="FF003366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3366"/>
        <bgColor rgb="FF004D80"/>
      </patternFill>
    </fill>
    <fill>
      <patternFill patternType="solid">
        <fgColor rgb="FF004D80"/>
        <bgColor rgb="FF003366"/>
      </patternFill>
    </fill>
    <fill>
      <patternFill patternType="solid">
        <fgColor rgb="FFADD8E6"/>
        <bgColor rgb="FFB7C9DC"/>
      </patternFill>
    </fill>
    <fill>
      <patternFill patternType="solid">
        <fgColor rgb="FFFFF2CC"/>
        <bgColor rgb="FFF7FAFD"/>
      </patternFill>
    </fill>
    <fill>
      <patternFill patternType="solid">
        <fgColor rgb="FFEAF2FA"/>
        <bgColor rgb="FFF7FAFD"/>
      </patternFill>
    </fill>
    <fill>
      <patternFill patternType="solid">
        <fgColor rgb="FFF7FAFD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9DC"/>
      </left>
      <right style="thin">
        <color rgb="FFB7C9DC"/>
      </right>
      <top style="thin">
        <color rgb="FFB7C9DC"/>
      </top>
      <bottom style="thin">
        <color rgb="FFB7C9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9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FFFFFF"/>
      </font>
      <fill>
        <patternFill>
          <bgColor rgb="FF28A745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DC3545"/>
        </patternFill>
      </fill>
    </dxf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008000"/>
      </font>
    </dxf>
    <dxf>
      <font>
        <name val="Arial"/>
        <charset val="1"/>
        <family val="0"/>
        <b val="1"/>
        <color rgb="FFDC3545"/>
      </font>
    </dxf>
    <dxf>
      <font>
        <name val="Arial"/>
        <charset val="1"/>
        <family val="0"/>
        <b val="1"/>
        <color rgb="FF28A745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9DC"/>
      <rgbColor rgb="FF878787"/>
      <rgbColor rgb="FF9999FF"/>
      <rgbColor rgb="FFDC3545"/>
      <rgbColor rgb="FFFFF2CC"/>
      <rgbColor rgb="FFEAF2FA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AFD"/>
      <rgbColor rgb="FFCCFFCC"/>
      <rgbColor rgb="FFFFFF99"/>
      <rgbColor rgb="FFADD8E6"/>
      <rgbColor rgb="FFFF99CC"/>
      <rgbColor rgb="FFCC99FF"/>
      <rgbColor rgb="FFFFCC99"/>
      <rgbColor rgb="FF3366FF"/>
      <rgbColor rgb="FF33CCCC"/>
      <rgbColor rgb="FF99CC00"/>
      <rgbColor rgb="FFFFD700"/>
      <rgbColor rgb="FFFFC000"/>
      <rgbColor rgb="FFFF6600"/>
      <rgbColor rgb="FF666699"/>
      <rgbColor rgb="FF969696"/>
      <rgbColor rgb="FF003366"/>
      <rgbColor rgb="FF28A745"/>
      <rgbColor rgb="FF003300"/>
      <rgbColor rgb="FF333300"/>
      <rgbColor rgb="FF993300"/>
      <rgbColor rgb="FF993366"/>
      <rgbColor rgb="FF004D80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Allocation by maturity — the 'barbell' shape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Barbell_vs_Bullet!D12</c:f>
              <c:strCache>
                <c:ptCount val="1"/>
                <c:pt idx="0">
                  <c:v>Bullet weight</c:v>
                </c:pt>
              </c:strCache>
            </c:strRef>
          </c:tx>
          <c:spPr>
            <a:solidFill>
              <a:srgbClr val="add8e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Barbell_vs_Bullet!$B$13:$B$15</c:f>
              <c:strCache>
                <c:ptCount val="3"/>
                <c:pt idx="0">
                  <c:v>Short end (2Y)</c:v>
                </c:pt>
                <c:pt idx="1">
                  <c:v>Intermediate / Bullet (10Y)</c:v>
                </c:pt>
                <c:pt idx="2">
                  <c:v>Long end (30Y)</c:v>
                </c:pt>
              </c:strCache>
            </c:strRef>
          </c:cat>
          <c:val>
            <c:numRef>
              <c:f>Barbell_vs_Bullet!$D$13:$D$15</c:f>
              <c:numCache>
                <c:formatCode>0.00%;\(0.00%\);\-</c:formatCode>
                <c:ptCount val="3"/>
                <c:pt idx="0">
                  <c:v>0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Barbell_vs_Bullet!E12</c:f>
              <c:strCache>
                <c:ptCount val="1"/>
                <c:pt idx="0">
                  <c:v>Barbell weight</c:v>
                </c:pt>
              </c:strCache>
            </c:strRef>
          </c:tx>
          <c:spPr>
            <a:solidFill>
              <a:srgbClr val="00336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Barbell_vs_Bullet!$B$13:$B$15</c:f>
              <c:strCache>
                <c:ptCount val="3"/>
                <c:pt idx="0">
                  <c:v>Short end (2Y)</c:v>
                </c:pt>
                <c:pt idx="1">
                  <c:v>Intermediate / Bullet (10Y)</c:v>
                </c:pt>
                <c:pt idx="2">
                  <c:v>Long end (30Y)</c:v>
                </c:pt>
              </c:strCache>
            </c:strRef>
          </c:cat>
          <c:val>
            <c:numRef>
              <c:f>Barbell_vs_Bullet!$E$13:$E$15</c:f>
              <c:numCache>
                <c:formatCode>0.00%;\(0.00%\);\-</c:formatCode>
                <c:ptCount val="3"/>
                <c:pt idx="0">
                  <c:v>0.714285714285714</c:v>
                </c:pt>
                <c:pt idx="1">
                  <c:v>0</c:v>
                </c:pt>
                <c:pt idx="2">
                  <c:v>0.285714285714286</c:v>
                </c:pt>
              </c:numCache>
            </c:numRef>
          </c:val>
        </c:ser>
        <c:gapWidth val="150"/>
        <c:overlap val="0"/>
        <c:axId val="58339528"/>
        <c:axId val="93356387"/>
      </c:barChart>
      <c:catAx>
        <c:axId val="5833952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Maturity bucket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3356387"/>
        <c:crosses val="autoZero"/>
        <c:auto val="1"/>
        <c:lblAlgn val="ctr"/>
        <c:lblOffset val="100"/>
        <c:noMultiLvlLbl val="0"/>
      </c:catAx>
      <c:valAx>
        <c:axId val="9335638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Weight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33952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Indicative 1-yr total return by scenario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Scenarios!L6</c:f>
              <c:strCache>
                <c:ptCount val="1"/>
                <c:pt idx="0">
                  <c:v>Bullet</c:v>
                </c:pt>
              </c:strCache>
            </c:strRef>
          </c:tx>
          <c:spPr>
            <a:solidFill>
              <a:srgbClr val="add8e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Scenarios!$B$7:$B$15</c:f>
              <c:strCache>
                <c:ptCount val="9"/>
                <c:pt idx="0">
                  <c:v>Base case (unchanged rates)</c:v>
                </c:pt>
                <c:pt idx="1">
                  <c:v>Scenario A: +200 bps parallel</c:v>
                </c:pt>
                <c:pt idx="2">
                  <c:v>Scenario B: Positive butterfly</c:v>
                </c:pt>
                <c:pt idx="3">
                  <c:v>Scenario C: Bear flattening</c:v>
                </c:pt>
                <c:pt idx="4">
                  <c:v>Scenario D: −200 bps parallel</c:v>
                </c:pt>
                <c:pt idx="5">
                  <c:v>Scenario E: +50 bps parallel</c:v>
                </c:pt>
                <c:pt idx="6">
                  <c:v>Scenario F: Negative butterfly</c:v>
                </c:pt>
                <c:pt idx="7">
                  <c:v>Scenario G: Bear steepening</c:v>
                </c:pt>
                <c:pt idx="8">
                  <c:v>Scenario H: Bull steepening</c:v>
                </c:pt>
              </c:strCache>
            </c:strRef>
          </c:cat>
          <c:val>
            <c:numRef>
              <c:f>Scenarios!$L$7:$L$15</c:f>
              <c:numCache>
                <c:formatCode>0.00%;\(0.00%\);\-</c:formatCode>
                <c:ptCount val="9"/>
                <c:pt idx="0">
                  <c:v>0.045</c:v>
                </c:pt>
                <c:pt idx="1">
                  <c:v>-0.135</c:v>
                </c:pt>
                <c:pt idx="2">
                  <c:v>-0.05</c:v>
                </c:pt>
                <c:pt idx="3">
                  <c:v>-0.00375</c:v>
                </c:pt>
                <c:pt idx="4">
                  <c:v>0.265</c:v>
                </c:pt>
                <c:pt idx="5">
                  <c:v>-0.00375</c:v>
                </c:pt>
                <c:pt idx="6">
                  <c:v>0.15</c:v>
                </c:pt>
                <c:pt idx="7">
                  <c:v>-0.00375</c:v>
                </c:pt>
                <c:pt idx="8">
                  <c:v>0.09625</c:v>
                </c:pt>
              </c:numCache>
            </c:numRef>
          </c:val>
        </c:ser>
        <c:ser>
          <c:idx val="1"/>
          <c:order val="1"/>
          <c:tx>
            <c:strRef>
              <c:f>Scenarios!M6</c:f>
              <c:strCache>
                <c:ptCount val="1"/>
                <c:pt idx="0">
                  <c:v>Barbell</c:v>
                </c:pt>
              </c:strCache>
            </c:strRef>
          </c:tx>
          <c:spPr>
            <a:solidFill>
              <a:srgbClr val="00336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Scenarios!$B$7:$B$15</c:f>
              <c:strCache>
                <c:ptCount val="9"/>
                <c:pt idx="0">
                  <c:v>Base case (unchanged rates)</c:v>
                </c:pt>
                <c:pt idx="1">
                  <c:v>Scenario A: +200 bps parallel</c:v>
                </c:pt>
                <c:pt idx="2">
                  <c:v>Scenario B: Positive butterfly</c:v>
                </c:pt>
                <c:pt idx="3">
                  <c:v>Scenario C: Bear flattening</c:v>
                </c:pt>
                <c:pt idx="4">
                  <c:v>Scenario D: −200 bps parallel</c:v>
                </c:pt>
                <c:pt idx="5">
                  <c:v>Scenario E: +50 bps parallel</c:v>
                </c:pt>
                <c:pt idx="6">
                  <c:v>Scenario F: Negative butterfly</c:v>
                </c:pt>
                <c:pt idx="7">
                  <c:v>Scenario G: Bear steepening</c:v>
                </c:pt>
                <c:pt idx="8">
                  <c:v>Scenario H: Bull steepening</c:v>
                </c:pt>
              </c:strCache>
            </c:strRef>
          </c:cat>
          <c:val>
            <c:numRef>
              <c:f>Scenarios!$M$7:$M$15</c:f>
              <c:numCache>
                <c:formatCode>0.00%;\(0.00%\);\-</c:formatCode>
                <c:ptCount val="9"/>
                <c:pt idx="0">
                  <c:v>0.0428571428571429</c:v>
                </c:pt>
                <c:pt idx="1">
                  <c:v>-0.105142857142857</c:v>
                </c:pt>
                <c:pt idx="2">
                  <c:v>0.0186696428571429</c:v>
                </c:pt>
                <c:pt idx="3">
                  <c:v>0.02175</c:v>
                </c:pt>
                <c:pt idx="4">
                  <c:v>0.294857142857143</c:v>
                </c:pt>
                <c:pt idx="5">
                  <c:v>-0.00389285714285714</c:v>
                </c:pt>
                <c:pt idx="6">
                  <c:v>0.0686696428571429</c:v>
                </c:pt>
                <c:pt idx="7">
                  <c:v>-0.0567857142857143</c:v>
                </c:pt>
                <c:pt idx="8">
                  <c:v>0.0646071428571429</c:v>
                </c:pt>
              </c:numCache>
            </c:numRef>
          </c:val>
        </c:ser>
        <c:gapWidth val="150"/>
        <c:overlap val="0"/>
        <c:axId val="42085543"/>
        <c:axId val="33465431"/>
      </c:barChart>
      <c:catAx>
        <c:axId val="42085543"/>
        <c:scaling>
          <c:orientation val="maxMin"/>
        </c:scaling>
        <c:delete val="0"/>
        <c:axPos val="b"/>
        <c:numFmt formatCode="0%" sourceLinked="0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3465431"/>
        <c:crosses val="autoZero"/>
        <c:auto val="1"/>
        <c:lblAlgn val="ctr"/>
        <c:lblOffset val="100"/>
        <c:noMultiLvlLbl val="0"/>
      </c:catAx>
      <c:valAx>
        <c:axId val="3346543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08554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Price change vs parallel shift (exact)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Shift_Curve!C6</c:f>
              <c:strCache>
                <c:ptCount val="1"/>
                <c:pt idx="0">
                  <c:v>Bullet ΔP/P (exact)</c:v>
                </c:pt>
              </c:strCache>
            </c:strRef>
          </c:tx>
          <c:spPr>
            <a:solidFill>
              <a:srgbClr val="add8e6"/>
            </a:solidFill>
            <a:ln w="28080">
              <a:solidFill>
                <a:srgbClr val="add8e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Shift_Curve!$B$7:$B$31</c:f>
              <c:strCache>
                <c:ptCount val="25"/>
                <c:pt idx="0">
                  <c:v>-300</c:v>
                </c:pt>
                <c:pt idx="1">
                  <c:v>-275</c:v>
                </c:pt>
                <c:pt idx="2">
                  <c:v>-250</c:v>
                </c:pt>
                <c:pt idx="3">
                  <c:v>-225</c:v>
                </c:pt>
                <c:pt idx="4">
                  <c:v>-200</c:v>
                </c:pt>
                <c:pt idx="5">
                  <c:v>-175</c:v>
                </c:pt>
                <c:pt idx="6">
                  <c:v>-150</c:v>
                </c:pt>
                <c:pt idx="7">
                  <c:v>-125</c:v>
                </c:pt>
                <c:pt idx="8">
                  <c:v>-100</c:v>
                </c:pt>
                <c:pt idx="9">
                  <c:v>-75</c:v>
                </c:pt>
                <c:pt idx="10">
                  <c:v>-50</c:v>
                </c:pt>
                <c:pt idx="11">
                  <c:v>-25</c:v>
                </c:pt>
                <c:pt idx="12">
                  <c:v>0</c:v>
                </c:pt>
                <c:pt idx="13">
                  <c:v>25</c:v>
                </c:pt>
                <c:pt idx="14">
                  <c:v>50</c:v>
                </c:pt>
                <c:pt idx="15">
                  <c:v>75</c:v>
                </c:pt>
                <c:pt idx="16">
                  <c:v>100</c:v>
                </c:pt>
                <c:pt idx="17">
                  <c:v>125</c:v>
                </c:pt>
                <c:pt idx="18">
                  <c:v>150</c:v>
                </c:pt>
                <c:pt idx="19">
                  <c:v>175</c:v>
                </c:pt>
                <c:pt idx="20">
                  <c:v>200</c:v>
                </c:pt>
                <c:pt idx="21">
                  <c:v>225</c:v>
                </c:pt>
                <c:pt idx="22">
                  <c:v>250</c:v>
                </c:pt>
                <c:pt idx="23">
                  <c:v>275</c:v>
                </c:pt>
                <c:pt idx="24">
                  <c:v>300</c:v>
                </c:pt>
              </c:strCache>
            </c:strRef>
          </c:cat>
          <c:val>
            <c:numRef>
              <c:f>Shift_Curve!$C$7:$C$31</c:f>
              <c:numCache>
                <c:formatCode>0.00%;\(0.00%\);\-</c:formatCode>
                <c:ptCount val="25"/>
                <c:pt idx="0">
                  <c:v>0.349858807576003</c:v>
                </c:pt>
                <c:pt idx="1">
                  <c:v>0.316530674867622</c:v>
                </c:pt>
                <c:pt idx="2">
                  <c:v>0.284025416687741</c:v>
                </c:pt>
                <c:pt idx="3">
                  <c:v>0.252322716191864</c:v>
                </c:pt>
                <c:pt idx="4">
                  <c:v>0.22140275816017</c:v>
                </c:pt>
                <c:pt idx="5">
                  <c:v>0.191246216612358</c:v>
                </c:pt>
                <c:pt idx="6">
                  <c:v>0.161834242728283</c:v>
                </c:pt>
                <c:pt idx="7">
                  <c:v>0.133148453066826</c:v>
                </c:pt>
                <c:pt idx="8">
                  <c:v>0.105170918075648</c:v>
                </c:pt>
                <c:pt idx="9">
                  <c:v>0.0778841508846315</c:v>
                </c:pt>
                <c:pt idx="10">
                  <c:v>0.0512710963760241</c:v>
                </c:pt>
                <c:pt idx="11">
                  <c:v>0.0253151205244289</c:v>
                </c:pt>
                <c:pt idx="12">
                  <c:v>0</c:v>
                </c:pt>
                <c:pt idx="13">
                  <c:v>-0.0246900879716674</c:v>
                </c:pt>
                <c:pt idx="14">
                  <c:v>-0.048770575499286</c:v>
                </c:pt>
                <c:pt idx="15">
                  <c:v>-0.0722565136714471</c:v>
                </c:pt>
                <c:pt idx="16">
                  <c:v>-0.0951625819640405</c:v>
                </c:pt>
                <c:pt idx="17">
                  <c:v>-0.117503097415405</c:v>
                </c:pt>
                <c:pt idx="18">
                  <c:v>-0.139292023574942</c:v>
                </c:pt>
                <c:pt idx="19">
                  <c:v>-0.160542979230793</c:v>
                </c:pt>
                <c:pt idx="20">
                  <c:v>-0.181269246922018</c:v>
                </c:pt>
                <c:pt idx="21">
                  <c:v>-0.201483781240623</c:v>
                </c:pt>
                <c:pt idx="22">
                  <c:v>-0.221199216928595</c:v>
                </c:pt>
                <c:pt idx="23">
                  <c:v>-0.240427876775032</c:v>
                </c:pt>
                <c:pt idx="24">
                  <c:v>-0.259181779318282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Shift_Curve!D6</c:f>
              <c:strCache>
                <c:ptCount val="1"/>
                <c:pt idx="0">
                  <c:v>Barbell ΔP/P (exact)</c:v>
                </c:pt>
              </c:strCache>
            </c:strRef>
          </c:tx>
          <c:spPr>
            <a:solidFill>
              <a:srgbClr val="003366"/>
            </a:solidFill>
            <a:ln w="28080">
              <a:solidFill>
                <a:srgbClr val="00336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Shift_Curve!$B$7:$B$31</c:f>
              <c:strCache>
                <c:ptCount val="25"/>
                <c:pt idx="0">
                  <c:v>-300</c:v>
                </c:pt>
                <c:pt idx="1">
                  <c:v>-275</c:v>
                </c:pt>
                <c:pt idx="2">
                  <c:v>-250</c:v>
                </c:pt>
                <c:pt idx="3">
                  <c:v>-225</c:v>
                </c:pt>
                <c:pt idx="4">
                  <c:v>-200</c:v>
                </c:pt>
                <c:pt idx="5">
                  <c:v>-175</c:v>
                </c:pt>
                <c:pt idx="6">
                  <c:v>-150</c:v>
                </c:pt>
                <c:pt idx="7">
                  <c:v>-125</c:v>
                </c:pt>
                <c:pt idx="8">
                  <c:v>-100</c:v>
                </c:pt>
                <c:pt idx="9">
                  <c:v>-75</c:v>
                </c:pt>
                <c:pt idx="10">
                  <c:v>-50</c:v>
                </c:pt>
                <c:pt idx="11">
                  <c:v>-25</c:v>
                </c:pt>
                <c:pt idx="12">
                  <c:v>0</c:v>
                </c:pt>
                <c:pt idx="13">
                  <c:v>25</c:v>
                </c:pt>
                <c:pt idx="14">
                  <c:v>50</c:v>
                </c:pt>
                <c:pt idx="15">
                  <c:v>75</c:v>
                </c:pt>
                <c:pt idx="16">
                  <c:v>100</c:v>
                </c:pt>
                <c:pt idx="17">
                  <c:v>125</c:v>
                </c:pt>
                <c:pt idx="18">
                  <c:v>150</c:v>
                </c:pt>
                <c:pt idx="19">
                  <c:v>175</c:v>
                </c:pt>
                <c:pt idx="20">
                  <c:v>200</c:v>
                </c:pt>
                <c:pt idx="21">
                  <c:v>225</c:v>
                </c:pt>
                <c:pt idx="22">
                  <c:v>250</c:v>
                </c:pt>
                <c:pt idx="23">
                  <c:v>275</c:v>
                </c:pt>
                <c:pt idx="24">
                  <c:v>300</c:v>
                </c:pt>
              </c:strCache>
            </c:strRef>
          </c:cat>
          <c:val>
            <c:numRef>
              <c:f>Shift_Curve!$D$7:$D$31</c:f>
              <c:numCache>
                <c:formatCode>0.00%;\(0.00%\);\-</c:formatCode>
                <c:ptCount val="25"/>
                <c:pt idx="0">
                  <c:v>0.461198422148671</c:v>
                </c:pt>
                <c:pt idx="1">
                  <c:v>0.406637800576583</c:v>
                </c:pt>
                <c:pt idx="2">
                  <c:v>0.355765073586496</c:v>
                </c:pt>
                <c:pt idx="3">
                  <c:v>0.308315035926183</c:v>
                </c:pt>
                <c:pt idx="4">
                  <c:v>0.264041638820423</c:v>
                </c:pt>
                <c:pt idx="5">
                  <c:v>0.222716605822328</c:v>
                </c:pt>
                <c:pt idx="6">
                  <c:v>0.184128148678275</c:v>
                </c:pt>
                <c:pt idx="7">
                  <c:v>0.148079775979792</c:v>
                </c:pt>
                <c:pt idx="8">
                  <c:v>0.114389187897969</c:v>
                </c:pt>
                <c:pt idx="9">
                  <c:v>0.0828872507803319</c:v>
                </c:pt>
                <c:pt idx="10">
                  <c:v>0.0534170458396294</c:v>
                </c:pt>
                <c:pt idx="11">
                  <c:v>0.0258329865808954</c:v>
                </c:pt>
                <c:pt idx="12">
                  <c:v>0</c:v>
                </c:pt>
                <c:pt idx="13">
                  <c:v>-0.0242072330542118</c:v>
                </c:pt>
                <c:pt idx="14">
                  <c:v>-0.0469049826291491</c:v>
                </c:pt>
                <c:pt idx="15">
                  <c:v>-0.0682011234951332</c:v>
                </c:pt>
                <c:pt idx="16">
                  <c:v>-0.0881957417289697</c:v>
                </c:pt>
                <c:pt idx="17">
                  <c:v>-0.106981697468056</c:v>
                </c:pt>
                <c:pt idx="18">
                  <c:v>-0.124645147001988</c:v>
                </c:pt>
                <c:pt idx="19">
                  <c:v>-0.141266027139791</c:v>
                </c:pt>
                <c:pt idx="20">
                  <c:v>-0.156918504578619</c:v>
                </c:pt>
                <c:pt idx="21">
                  <c:v>-0.171671392802772</c:v>
                </c:pt>
                <c:pt idx="22">
                  <c:v>-0.1855885388592</c:v>
                </c:pt>
                <c:pt idx="23">
                  <c:v>-0.198729182186097</c:v>
                </c:pt>
                <c:pt idx="24">
                  <c:v>-0.211148287513937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Shift_Curve!E6</c:f>
              <c:strCache>
                <c:ptCount val="1"/>
                <c:pt idx="0">
                  <c:v>Duration-only line
−D*·Δy</c:v>
                </c:pt>
              </c:strCache>
            </c:strRef>
          </c:tx>
          <c:spPr>
            <a:solidFill>
              <a:srgbClr val="ffc000"/>
            </a:solidFill>
            <a:ln w="28080">
              <a:solidFill>
                <a:srgbClr val="ffc000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Shift_Curve!$B$7:$B$31</c:f>
              <c:strCache>
                <c:ptCount val="25"/>
                <c:pt idx="0">
                  <c:v>-300</c:v>
                </c:pt>
                <c:pt idx="1">
                  <c:v>-275</c:v>
                </c:pt>
                <c:pt idx="2">
                  <c:v>-250</c:v>
                </c:pt>
                <c:pt idx="3">
                  <c:v>-225</c:v>
                </c:pt>
                <c:pt idx="4">
                  <c:v>-200</c:v>
                </c:pt>
                <c:pt idx="5">
                  <c:v>-175</c:v>
                </c:pt>
                <c:pt idx="6">
                  <c:v>-150</c:v>
                </c:pt>
                <c:pt idx="7">
                  <c:v>-125</c:v>
                </c:pt>
                <c:pt idx="8">
                  <c:v>-100</c:v>
                </c:pt>
                <c:pt idx="9">
                  <c:v>-75</c:v>
                </c:pt>
                <c:pt idx="10">
                  <c:v>-50</c:v>
                </c:pt>
                <c:pt idx="11">
                  <c:v>-25</c:v>
                </c:pt>
                <c:pt idx="12">
                  <c:v>0</c:v>
                </c:pt>
                <c:pt idx="13">
                  <c:v>25</c:v>
                </c:pt>
                <c:pt idx="14">
                  <c:v>50</c:v>
                </c:pt>
                <c:pt idx="15">
                  <c:v>75</c:v>
                </c:pt>
                <c:pt idx="16">
                  <c:v>100</c:v>
                </c:pt>
                <c:pt idx="17">
                  <c:v>125</c:v>
                </c:pt>
                <c:pt idx="18">
                  <c:v>150</c:v>
                </c:pt>
                <c:pt idx="19">
                  <c:v>175</c:v>
                </c:pt>
                <c:pt idx="20">
                  <c:v>200</c:v>
                </c:pt>
                <c:pt idx="21">
                  <c:v>225</c:v>
                </c:pt>
                <c:pt idx="22">
                  <c:v>250</c:v>
                </c:pt>
                <c:pt idx="23">
                  <c:v>275</c:v>
                </c:pt>
                <c:pt idx="24">
                  <c:v>300</c:v>
                </c:pt>
              </c:strCache>
            </c:strRef>
          </c:cat>
          <c:val>
            <c:numRef>
              <c:f>Shift_Curve!$E$7:$E$31</c:f>
              <c:numCache>
                <c:formatCode>0.00%;\(0.00%\);\-</c:formatCode>
                <c:ptCount val="25"/>
                <c:pt idx="0">
                  <c:v>0.3</c:v>
                </c:pt>
                <c:pt idx="1">
                  <c:v>0.275</c:v>
                </c:pt>
                <c:pt idx="2">
                  <c:v>0.25</c:v>
                </c:pt>
                <c:pt idx="3">
                  <c:v>0.225</c:v>
                </c:pt>
                <c:pt idx="4">
                  <c:v>0.2</c:v>
                </c:pt>
                <c:pt idx="5">
                  <c:v>0.175</c:v>
                </c:pt>
                <c:pt idx="6">
                  <c:v>0.15</c:v>
                </c:pt>
                <c:pt idx="7">
                  <c:v>0.125</c:v>
                </c:pt>
                <c:pt idx="8">
                  <c:v>0.1</c:v>
                </c:pt>
                <c:pt idx="9">
                  <c:v>0.075</c:v>
                </c:pt>
                <c:pt idx="10">
                  <c:v>0.05</c:v>
                </c:pt>
                <c:pt idx="11">
                  <c:v>0.025</c:v>
                </c:pt>
                <c:pt idx="12">
                  <c:v>-0</c:v>
                </c:pt>
                <c:pt idx="13">
                  <c:v>-0.025</c:v>
                </c:pt>
                <c:pt idx="14">
                  <c:v>-0.05</c:v>
                </c:pt>
                <c:pt idx="15">
                  <c:v>-0.075</c:v>
                </c:pt>
                <c:pt idx="16">
                  <c:v>-0.1</c:v>
                </c:pt>
                <c:pt idx="17">
                  <c:v>-0.125</c:v>
                </c:pt>
                <c:pt idx="18">
                  <c:v>-0.15</c:v>
                </c:pt>
                <c:pt idx="19">
                  <c:v>-0.175</c:v>
                </c:pt>
                <c:pt idx="20">
                  <c:v>-0.2</c:v>
                </c:pt>
                <c:pt idx="21">
                  <c:v>-0.225</c:v>
                </c:pt>
                <c:pt idx="22">
                  <c:v>-0.25</c:v>
                </c:pt>
                <c:pt idx="23">
                  <c:v>-0.275</c:v>
                </c:pt>
                <c:pt idx="24">
                  <c:v>-0.3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22256397"/>
        <c:axId val="45795679"/>
      </c:lineChart>
      <c:catAx>
        <c:axId val="2225639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Parallel shift (bps)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795679"/>
        <c:crosses val="autoZero"/>
        <c:auto val="1"/>
        <c:lblAlgn val="ctr"/>
        <c:lblOffset val="100"/>
        <c:noMultiLvlLbl val="0"/>
      </c:catAx>
      <c:valAx>
        <c:axId val="4579567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ΔP / P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225639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Barbell advantage: price only vs net of yield drag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Shift_Curve!F6</c:f>
              <c:strCache>
                <c:ptCount val="1"/>
                <c:pt idx="0">
                  <c:v>Barbell − Bullet
(price)</c:v>
                </c:pt>
              </c:strCache>
            </c:strRef>
          </c:tx>
          <c:spPr>
            <a:solidFill>
              <a:srgbClr val="28a745"/>
            </a:solidFill>
            <a:ln w="28080">
              <a:solidFill>
                <a:srgbClr val="28a74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Shift_Curve!$B$7:$B$31</c:f>
              <c:strCache>
                <c:ptCount val="25"/>
                <c:pt idx="0">
                  <c:v>-300</c:v>
                </c:pt>
                <c:pt idx="1">
                  <c:v>-275</c:v>
                </c:pt>
                <c:pt idx="2">
                  <c:v>-250</c:v>
                </c:pt>
                <c:pt idx="3">
                  <c:v>-225</c:v>
                </c:pt>
                <c:pt idx="4">
                  <c:v>-200</c:v>
                </c:pt>
                <c:pt idx="5">
                  <c:v>-175</c:v>
                </c:pt>
                <c:pt idx="6">
                  <c:v>-150</c:v>
                </c:pt>
                <c:pt idx="7">
                  <c:v>-125</c:v>
                </c:pt>
                <c:pt idx="8">
                  <c:v>-100</c:v>
                </c:pt>
                <c:pt idx="9">
                  <c:v>-75</c:v>
                </c:pt>
                <c:pt idx="10">
                  <c:v>-50</c:v>
                </c:pt>
                <c:pt idx="11">
                  <c:v>-25</c:v>
                </c:pt>
                <c:pt idx="12">
                  <c:v>0</c:v>
                </c:pt>
                <c:pt idx="13">
                  <c:v>25</c:v>
                </c:pt>
                <c:pt idx="14">
                  <c:v>50</c:v>
                </c:pt>
                <c:pt idx="15">
                  <c:v>75</c:v>
                </c:pt>
                <c:pt idx="16">
                  <c:v>100</c:v>
                </c:pt>
                <c:pt idx="17">
                  <c:v>125</c:v>
                </c:pt>
                <c:pt idx="18">
                  <c:v>150</c:v>
                </c:pt>
                <c:pt idx="19">
                  <c:v>175</c:v>
                </c:pt>
                <c:pt idx="20">
                  <c:v>200</c:v>
                </c:pt>
                <c:pt idx="21">
                  <c:v>225</c:v>
                </c:pt>
                <c:pt idx="22">
                  <c:v>250</c:v>
                </c:pt>
                <c:pt idx="23">
                  <c:v>275</c:v>
                </c:pt>
                <c:pt idx="24">
                  <c:v>300</c:v>
                </c:pt>
              </c:strCache>
            </c:strRef>
          </c:cat>
          <c:val>
            <c:numRef>
              <c:f>Shift_Curve!$F$7:$F$31</c:f>
              <c:numCache>
                <c:formatCode>0.000%;\(0.000%\);\-</c:formatCode>
                <c:ptCount val="25"/>
                <c:pt idx="0">
                  <c:v>0.111339614572668</c:v>
                </c:pt>
                <c:pt idx="1">
                  <c:v>0.0901071257089611</c:v>
                </c:pt>
                <c:pt idx="2">
                  <c:v>0.0717396568987543</c:v>
                </c:pt>
                <c:pt idx="3">
                  <c:v>0.0559923197343184</c:v>
                </c:pt>
                <c:pt idx="4">
                  <c:v>0.0426388806602528</c:v>
                </c:pt>
                <c:pt idx="5">
                  <c:v>0.0314703892099704</c:v>
                </c:pt>
                <c:pt idx="6">
                  <c:v>0.0222939059499916</c:v>
                </c:pt>
                <c:pt idx="7">
                  <c:v>0.0149313229129661</c:v>
                </c:pt>
                <c:pt idx="8">
                  <c:v>0.0092182698223216</c:v>
                </c:pt>
                <c:pt idx="9">
                  <c:v>0.00500309989570041</c:v>
                </c:pt>
                <c:pt idx="10">
                  <c:v>0.00214594946360529</c:v>
                </c:pt>
                <c:pt idx="11">
                  <c:v>0.000517866056466546</c:v>
                </c:pt>
                <c:pt idx="12">
                  <c:v>0</c:v>
                </c:pt>
                <c:pt idx="13">
                  <c:v>0.000482854917455575</c:v>
                </c:pt>
                <c:pt idx="14">
                  <c:v>0.00186559287013686</c:v>
                </c:pt>
                <c:pt idx="15">
                  <c:v>0.00405539017631391</c:v>
                </c:pt>
                <c:pt idx="16">
                  <c:v>0.00696684023507077</c:v>
                </c:pt>
                <c:pt idx="17">
                  <c:v>0.0105213999473485</c:v>
                </c:pt>
                <c:pt idx="18">
                  <c:v>0.0146468765729547</c:v>
                </c:pt>
                <c:pt idx="19">
                  <c:v>0.0192769520910016</c:v>
                </c:pt>
                <c:pt idx="20">
                  <c:v>0.0243507423433994</c:v>
                </c:pt>
                <c:pt idx="21">
                  <c:v>0.0298123884378513</c:v>
                </c:pt>
                <c:pt idx="22">
                  <c:v>0.0356106780693951</c:v>
                </c:pt>
                <c:pt idx="23">
                  <c:v>0.0416986945889341</c:v>
                </c:pt>
                <c:pt idx="24">
                  <c:v>0.0480334918043452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Shift_Curve!G6</c:f>
              <c:strCache>
                <c:ptCount val="1"/>
                <c:pt idx="0">
                  <c:v>Barbell − Bullet
net of 1-yr yield drag</c:v>
                </c:pt>
              </c:strCache>
            </c:strRef>
          </c:tx>
          <c:spPr>
            <a:solidFill>
              <a:srgbClr val="dc3545"/>
            </a:solidFill>
            <a:ln w="28080">
              <a:solidFill>
                <a:srgbClr val="dc354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Shift_Curve!$B$7:$B$31</c:f>
              <c:strCache>
                <c:ptCount val="25"/>
                <c:pt idx="0">
                  <c:v>-300</c:v>
                </c:pt>
                <c:pt idx="1">
                  <c:v>-275</c:v>
                </c:pt>
                <c:pt idx="2">
                  <c:v>-250</c:v>
                </c:pt>
                <c:pt idx="3">
                  <c:v>-225</c:v>
                </c:pt>
                <c:pt idx="4">
                  <c:v>-200</c:v>
                </c:pt>
                <c:pt idx="5">
                  <c:v>-175</c:v>
                </c:pt>
                <c:pt idx="6">
                  <c:v>-150</c:v>
                </c:pt>
                <c:pt idx="7">
                  <c:v>-125</c:v>
                </c:pt>
                <c:pt idx="8">
                  <c:v>-100</c:v>
                </c:pt>
                <c:pt idx="9">
                  <c:v>-75</c:v>
                </c:pt>
                <c:pt idx="10">
                  <c:v>-50</c:v>
                </c:pt>
                <c:pt idx="11">
                  <c:v>-25</c:v>
                </c:pt>
                <c:pt idx="12">
                  <c:v>0</c:v>
                </c:pt>
                <c:pt idx="13">
                  <c:v>25</c:v>
                </c:pt>
                <c:pt idx="14">
                  <c:v>50</c:v>
                </c:pt>
                <c:pt idx="15">
                  <c:v>75</c:v>
                </c:pt>
                <c:pt idx="16">
                  <c:v>100</c:v>
                </c:pt>
                <c:pt idx="17">
                  <c:v>125</c:v>
                </c:pt>
                <c:pt idx="18">
                  <c:v>150</c:v>
                </c:pt>
                <c:pt idx="19">
                  <c:v>175</c:v>
                </c:pt>
                <c:pt idx="20">
                  <c:v>200</c:v>
                </c:pt>
                <c:pt idx="21">
                  <c:v>225</c:v>
                </c:pt>
                <c:pt idx="22">
                  <c:v>250</c:v>
                </c:pt>
                <c:pt idx="23">
                  <c:v>275</c:v>
                </c:pt>
                <c:pt idx="24">
                  <c:v>300</c:v>
                </c:pt>
              </c:strCache>
            </c:strRef>
          </c:cat>
          <c:val>
            <c:numRef>
              <c:f>Shift_Curve!$G$7:$G$31</c:f>
              <c:numCache>
                <c:formatCode>0.000%;\(0.000%\);\-</c:formatCode>
                <c:ptCount val="25"/>
                <c:pt idx="0">
                  <c:v>0.109196757429811</c:v>
                </c:pt>
                <c:pt idx="1">
                  <c:v>0.087964268566104</c:v>
                </c:pt>
                <c:pt idx="2">
                  <c:v>0.0695967997558972</c:v>
                </c:pt>
                <c:pt idx="3">
                  <c:v>0.0538494625914613</c:v>
                </c:pt>
                <c:pt idx="4">
                  <c:v>0.0404960235173956</c:v>
                </c:pt>
                <c:pt idx="5">
                  <c:v>0.0293275320671133</c:v>
                </c:pt>
                <c:pt idx="6">
                  <c:v>0.0201510488071344</c:v>
                </c:pt>
                <c:pt idx="7">
                  <c:v>0.0127884657701089</c:v>
                </c:pt>
                <c:pt idx="8">
                  <c:v>0.00707541267946446</c:v>
                </c:pt>
                <c:pt idx="9">
                  <c:v>0.00286024275284327</c:v>
                </c:pt>
                <c:pt idx="10">
                  <c:v>3.09232074815341E-006</c:v>
                </c:pt>
                <c:pt idx="11">
                  <c:v>-0.0016249910863906</c:v>
                </c:pt>
                <c:pt idx="12">
                  <c:v>-0.00214285714285714</c:v>
                </c:pt>
                <c:pt idx="13">
                  <c:v>-0.00166000222540157</c:v>
                </c:pt>
                <c:pt idx="14">
                  <c:v>-0.000277264272720276</c:v>
                </c:pt>
                <c:pt idx="15">
                  <c:v>0.00191253303345677</c:v>
                </c:pt>
                <c:pt idx="16">
                  <c:v>0.00482398309221363</c:v>
                </c:pt>
                <c:pt idx="17">
                  <c:v>0.00837854280449135</c:v>
                </c:pt>
                <c:pt idx="18">
                  <c:v>0.0125040194300975</c:v>
                </c:pt>
                <c:pt idx="19">
                  <c:v>0.0171340949481444</c:v>
                </c:pt>
                <c:pt idx="20">
                  <c:v>0.0222078852005423</c:v>
                </c:pt>
                <c:pt idx="21">
                  <c:v>0.0276695312949941</c:v>
                </c:pt>
                <c:pt idx="22">
                  <c:v>0.0334678209265379</c:v>
                </c:pt>
                <c:pt idx="23">
                  <c:v>0.0395558374460769</c:v>
                </c:pt>
                <c:pt idx="24">
                  <c:v>0.0458906346614881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7707833"/>
        <c:axId val="96439872"/>
      </c:lineChart>
      <c:catAx>
        <c:axId val="4770783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Parallel shift (bps)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439872"/>
        <c:crosses val="autoZero"/>
        <c:auto val="1"/>
        <c:lblAlgn val="ctr"/>
        <c:lblOffset val="100"/>
        <c:noMultiLvlLbl val="0"/>
      </c:catAx>
      <c:valAx>
        <c:axId val="9643987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70783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Portfolio value by regime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Taleb_Barbell!F49</c:f>
              <c:strCache>
                <c:ptCount val="1"/>
                <c:pt idx="0">
                  <c:v>Barbell value ($)</c:v>
                </c:pt>
              </c:strCache>
            </c:strRef>
          </c:tx>
          <c:spPr>
            <a:solidFill>
              <a:srgbClr val="00336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Taleb_Barbell!$B$50:$B$53</c:f>
              <c:strCache>
                <c:ptCount val="4"/>
                <c:pt idx="0">
                  <c:v>Black-swan crash</c:v>
                </c:pt>
                <c:pt idx="1">
                  <c:v>Bad year</c:v>
                </c:pt>
                <c:pt idx="2">
                  <c:v>Normal year</c:v>
                </c:pt>
                <c:pt idx="3">
                  <c:v>Boom / positive black swan</c:v>
                </c:pt>
              </c:strCache>
            </c:strRef>
          </c:cat>
          <c:val>
            <c:numRef>
              <c:f>Taleb_Barbell!$F$50:$F$53</c:f>
              <c:numCache>
                <c:formatCode>\$#,##0;"($"#,##0\);\-</c:formatCode>
                <c:ptCount val="4"/>
                <c:pt idx="0">
                  <c:v>94500</c:v>
                </c:pt>
                <c:pt idx="1">
                  <c:v>97500</c:v>
                </c:pt>
                <c:pt idx="2">
                  <c:v>102500</c:v>
                </c:pt>
                <c:pt idx="3">
                  <c:v>194500</c:v>
                </c:pt>
              </c:numCache>
            </c:numRef>
          </c:val>
        </c:ser>
        <c:ser>
          <c:idx val="1"/>
          <c:order val="1"/>
          <c:tx>
            <c:strRef>
              <c:f>Taleb_Barbell!G49</c:f>
              <c:strCache>
                <c:ptCount val="1"/>
                <c:pt idx="0">
                  <c:v>Middle-risk value ($)</c:v>
                </c:pt>
              </c:strCache>
            </c:strRef>
          </c:tx>
          <c:spPr>
            <a:solidFill>
              <a:srgbClr val="ffc00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Taleb_Barbell!$B$50:$B$53</c:f>
              <c:strCache>
                <c:ptCount val="4"/>
                <c:pt idx="0">
                  <c:v>Black-swan crash</c:v>
                </c:pt>
                <c:pt idx="1">
                  <c:v>Bad year</c:v>
                </c:pt>
                <c:pt idx="2">
                  <c:v>Normal year</c:v>
                </c:pt>
                <c:pt idx="3">
                  <c:v>Boom / positive black swan</c:v>
                </c:pt>
              </c:strCache>
            </c:strRef>
          </c:cat>
          <c:val>
            <c:numRef>
              <c:f>Taleb_Barbell!$G$50:$G$53</c:f>
              <c:numCache>
                <c:formatCode>\$#,##0;"($"#,##0\);\-</c:formatCode>
                <c:ptCount val="4"/>
                <c:pt idx="0">
                  <c:v>60000</c:v>
                </c:pt>
                <c:pt idx="1">
                  <c:v>85000</c:v>
                </c:pt>
                <c:pt idx="2">
                  <c:v>110000</c:v>
                </c:pt>
                <c:pt idx="3">
                  <c:v>125000</c:v>
                </c:pt>
              </c:numCache>
            </c:numRef>
          </c:val>
        </c:ser>
        <c:gapWidth val="150"/>
        <c:overlap val="0"/>
        <c:axId val="55658121"/>
        <c:axId val="29325671"/>
      </c:barChart>
      <c:catAx>
        <c:axId val="5565812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325671"/>
        <c:crosses val="autoZero"/>
        <c:auto val="1"/>
        <c:lblAlgn val="ctr"/>
        <c:lblOffset val="100"/>
        <c:noMultiLvlLbl val="0"/>
      </c:catAx>
      <c:valAx>
        <c:axId val="2932567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65812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Barbell payoff vs speculative multiple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Taleb_Barbell!F20</c:f>
              <c:strCache>
                <c:ptCount val="1"/>
                <c:pt idx="0">
                  <c:v>Portfolio value ($)</c:v>
                </c:pt>
              </c:strCache>
            </c:strRef>
          </c:tx>
          <c:spPr>
            <a:solidFill>
              <a:srgbClr val="003366"/>
            </a:solidFill>
            <a:ln w="28080">
              <a:solidFill>
                <a:srgbClr val="00336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Taleb_Barbell!$C$21:$C$28</c:f>
              <c:strCache>
                <c:ptCount val="8"/>
                <c:pt idx="0">
                  <c:v>0.0×</c:v>
                </c:pt>
                <c:pt idx="1">
                  <c:v>0.5×</c:v>
                </c:pt>
                <c:pt idx="2">
                  <c:v>1.0×</c:v>
                </c:pt>
                <c:pt idx="3">
                  <c:v>2.0×</c:v>
                </c:pt>
                <c:pt idx="4">
                  <c:v>5.0×</c:v>
                </c:pt>
                <c:pt idx="5">
                  <c:v>10.0×</c:v>
                </c:pt>
                <c:pt idx="6">
                  <c:v>20.0×</c:v>
                </c:pt>
                <c:pt idx="7">
                  <c:v>50.0×</c:v>
                </c:pt>
              </c:strCache>
            </c:strRef>
          </c:cat>
          <c:val>
            <c:numRef>
              <c:f>Taleb_Barbell!$F$21:$F$28</c:f>
              <c:numCache>
                <c:formatCode>\$#,##0;"($"#,##0\);\-</c:formatCode>
                <c:ptCount val="8"/>
                <c:pt idx="0">
                  <c:v>94500</c:v>
                </c:pt>
                <c:pt idx="1">
                  <c:v>99500</c:v>
                </c:pt>
                <c:pt idx="2">
                  <c:v>104500</c:v>
                </c:pt>
                <c:pt idx="3">
                  <c:v>114500</c:v>
                </c:pt>
                <c:pt idx="4">
                  <c:v>144500</c:v>
                </c:pt>
                <c:pt idx="5">
                  <c:v>194500</c:v>
                </c:pt>
                <c:pt idx="6">
                  <c:v>294500</c:v>
                </c:pt>
                <c:pt idx="7">
                  <c:v>594500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57686833"/>
        <c:axId val="35017646"/>
      </c:lineChart>
      <c:catAx>
        <c:axId val="5768683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Multiple k (×)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\×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017646"/>
        <c:crosses val="autoZero"/>
        <c:auto val="1"/>
        <c:lblAlgn val="ctr"/>
        <c:lblOffset val="100"/>
        <c:noMultiLvlLbl val="0"/>
      </c:catAx>
      <c:valAx>
        <c:axId val="3501764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68683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39</xdr:row>
      <xdr:rowOff>0</xdr:rowOff>
    </xdr:from>
    <xdr:to>
      <xdr:col>4</xdr:col>
      <xdr:colOff>402840</xdr:colOff>
      <xdr:row>54</xdr:row>
      <xdr:rowOff>22320</xdr:rowOff>
    </xdr:to>
    <xdr:graphicFrame>
      <xdr:nvGraphicFramePr>
        <xdr:cNvPr id="0" name="Chart 1"/>
        <xdr:cNvGraphicFramePr/>
      </xdr:nvGraphicFramePr>
      <xdr:xfrm>
        <a:off x="141120" y="863928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22</xdr:row>
      <xdr:rowOff>318240</xdr:rowOff>
    </xdr:from>
    <xdr:to>
      <xdr:col>9</xdr:col>
      <xdr:colOff>236880</xdr:colOff>
      <xdr:row>41</xdr:row>
      <xdr:rowOff>136440</xdr:rowOff>
    </xdr:to>
    <xdr:graphicFrame>
      <xdr:nvGraphicFramePr>
        <xdr:cNvPr id="1" name="Chart 1"/>
        <xdr:cNvGraphicFramePr/>
      </xdr:nvGraphicFramePr>
      <xdr:xfrm>
        <a:off x="141120" y="7629480"/>
        <a:ext cx="791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34</xdr:row>
      <xdr:rowOff>0</xdr:rowOff>
    </xdr:from>
    <xdr:to>
      <xdr:col>7</xdr:col>
      <xdr:colOff>503640</xdr:colOff>
      <xdr:row>52</xdr:row>
      <xdr:rowOff>170640</xdr:rowOff>
    </xdr:to>
    <xdr:graphicFrame>
      <xdr:nvGraphicFramePr>
        <xdr:cNvPr id="2" name="Chart 1"/>
        <xdr:cNvGraphicFramePr/>
      </xdr:nvGraphicFramePr>
      <xdr:xfrm>
        <a:off x="141120" y="7458120"/>
        <a:ext cx="719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55</xdr:row>
      <xdr:rowOff>0</xdr:rowOff>
    </xdr:from>
    <xdr:to>
      <xdr:col>7</xdr:col>
      <xdr:colOff>503640</xdr:colOff>
      <xdr:row>73</xdr:row>
      <xdr:rowOff>170640</xdr:rowOff>
    </xdr:to>
    <xdr:graphicFrame>
      <xdr:nvGraphicFramePr>
        <xdr:cNvPr id="3" name="Chart 2"/>
        <xdr:cNvGraphicFramePr/>
      </xdr:nvGraphicFramePr>
      <xdr:xfrm>
        <a:off x="141120" y="11458440"/>
        <a:ext cx="719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58</xdr:row>
      <xdr:rowOff>0</xdr:rowOff>
    </xdr:from>
    <xdr:to>
      <xdr:col>5</xdr:col>
      <xdr:colOff>699840</xdr:colOff>
      <xdr:row>75</xdr:row>
      <xdr:rowOff>1080</xdr:rowOff>
    </xdr:to>
    <xdr:graphicFrame>
      <xdr:nvGraphicFramePr>
        <xdr:cNvPr id="4" name="Chart 1"/>
        <xdr:cNvGraphicFramePr/>
      </xdr:nvGraphicFramePr>
      <xdr:xfrm>
        <a:off x="141120" y="1259208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58</xdr:row>
      <xdr:rowOff>0</xdr:rowOff>
    </xdr:from>
    <xdr:to>
      <xdr:col>10</xdr:col>
      <xdr:colOff>481320</xdr:colOff>
      <xdr:row>75</xdr:row>
      <xdr:rowOff>1080</xdr:rowOff>
    </xdr:to>
    <xdr:graphicFrame>
      <xdr:nvGraphicFramePr>
        <xdr:cNvPr id="5" name="Chart 2"/>
        <xdr:cNvGraphicFramePr/>
      </xdr:nvGraphicFramePr>
      <xdr:xfrm>
        <a:off x="5920920" y="12592080"/>
        <a:ext cx="503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<Relationship Id="rId2" Type="http://schemas.openxmlformats.org/officeDocument/2006/relationships/hyperlink" Target="calc.xlsx" TargetMode="External"/><Relationship Id="rId3" Type="http://schemas.openxmlformats.org/officeDocument/2006/relationships/hyperlink" Target="calc.xlsx" TargetMode="External"/><Relationship Id="rId4" Type="http://schemas.openxmlformats.org/officeDocument/2006/relationships/hyperlink" Target="calc.xlsx" TargetMode="External"/><Relationship Id="rId5" Type="http://schemas.openxmlformats.org/officeDocument/2006/relationships/hyperlink" Target="calc.xlsx" TargetMode="External"/><Relationship Id="rId6" Type="http://schemas.openxmlformats.org/officeDocument/2006/relationships/hyperlink" Target="calc.xlsx" TargetMode="External"/><Relationship Id="rId7" Type="http://schemas.openxmlformats.org/officeDocument/2006/relationships/hyperlink" Target="calc.xlsx" TargetMode="External"/><Relationship Id="rId8" Type="http://schemas.openxmlformats.org/officeDocument/2006/relationships/hyperlink" Target="calc.xlsx" TargetMode="External"/><Relationship Id="rId9" Type="http://schemas.openxmlformats.org/officeDocument/2006/relationships/hyperlink" Target="calc.xlsx" TargetMode="External"/><Relationship Id="rId10" Type="http://schemas.openxmlformats.org/officeDocument/2006/relationships/hyperlink" Target="calc.xlsx" TargetMode="External"/><Relationship Id="rId11" Type="http://schemas.openxmlformats.org/officeDocument/2006/relationships/hyperlink" Target="https://www.linkedin.com/in/trichyravis" TargetMode="External"/><Relationship Id="rId12" Type="http://schemas.openxmlformats.org/officeDocument/2006/relationships/hyperlink" Target="https://github.com/trichyravis" TargetMode="External"/><Relationship Id="rId13" Type="http://schemas.openxmlformats.org/officeDocument/2006/relationships/hyperlink" Target="https://themountainpathacademy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<Relationship Id="rId2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<Relationship Id="rId2" Type="http://schemas.openxmlformats.org/officeDocument/2006/relationships/drawing" Target="../drawings/drawing2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<Relationship Id="rId2" Type="http://schemas.openxmlformats.org/officeDocument/2006/relationships/drawing" Target="../drawings/drawing3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<Relationship Id="rId2" Type="http://schemas.openxmlformats.org/officeDocument/2006/relationships/drawing" Target="../drawings/drawing4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calc.xlsx" TargetMode="External"/><Relationship Id="rId2" Type="http://schemas.openxmlformats.org/officeDocument/2006/relationships/hyperlink" Target="calc.xlsx" TargetMode="External"/><Relationship Id="rId3" Type="http://schemas.openxmlformats.org/officeDocument/2006/relationships/hyperlink" Target="calc.xlsx" TargetMode="External"/><Relationship Id="rId4" Type="http://schemas.openxmlformats.org/officeDocument/2006/relationships/hyperlink" Target="calc.xlsx" TargetMode="External"/><Relationship Id="rId5" Type="http://schemas.openxmlformats.org/officeDocument/2006/relationships/hyperlink" Target="calc.xlsx" TargetMode="External"/><Relationship Id="rId6" Type="http://schemas.openxmlformats.org/officeDocument/2006/relationships/hyperlink" Target="calc.xlsx" TargetMode="External"/><Relationship Id="rId7" Type="http://schemas.openxmlformats.org/officeDocument/2006/relationships/hyperlink" Target="calc.xlsx" TargetMode="External"/><Relationship Id="rId8" Type="http://schemas.openxmlformats.org/officeDocument/2006/relationships/hyperlink" Target="calc.xlsx" TargetMode="External"/><Relationship Id="rId9" Type="http://schemas.openxmlformats.org/officeDocument/2006/relationships/hyperlink" Target="calc.xlsx" TargetMode="External"/><Relationship Id="rId10" Type="http://schemas.openxmlformats.org/officeDocument/2006/relationships/hyperlink" Target="calc.xlsx" TargetMode="External"/><Relationship Id="rId11" Type="http://schemas.openxmlformats.org/officeDocument/2006/relationships/hyperlink" Target="calc.xlsx" TargetMode="External"/><Relationship Id="rId12" Type="http://schemas.openxmlformats.org/officeDocument/2006/relationships/hyperlink" Target="calc.xlsx" TargetMode="External"/><Relationship Id="rId13" Type="http://schemas.openxmlformats.org/officeDocument/2006/relationships/hyperlink" Target="calc.xlsx" TargetMode="External"/><Relationship Id="rId14" Type="http://schemas.openxmlformats.org/officeDocument/2006/relationships/hyperlink" Target="calc.xlsx" TargetMode="External"/><Relationship Id="rId15" Type="http://schemas.openxmlformats.org/officeDocument/2006/relationships/hyperlink" Target="calc.xlsx" TargetMode="External"/><Relationship Id="rId16" Type="http://schemas.openxmlformats.org/officeDocument/2006/relationships/hyperlink" Target="calc.xlsx" TargetMode="External"/><Relationship Id="rId17" Type="http://schemas.openxmlformats.org/officeDocument/2006/relationships/hyperlink" Target="calc.xlsx" TargetMode="External"/><Relationship Id="rId18" Type="http://schemas.openxmlformats.org/officeDocument/2006/relationships/hyperlink" Target="calc.xlsx" TargetMode="External"/><Relationship Id="rId19" Type="http://schemas.openxmlformats.org/officeDocument/2006/relationships/hyperlink" Target="calc.xlsx" TargetMode="External"/><Relationship Id="rId20" Type="http://schemas.openxmlformats.org/officeDocument/2006/relationships/hyperlink" Target="calc.xlsx" TargetMode="External"/><Relationship Id="rId21" Type="http://schemas.openxmlformats.org/officeDocument/2006/relationships/hyperlink" Target="calc.xlsx" TargetMode="External"/><Relationship Id="rId22" Type="http://schemas.openxmlformats.org/officeDocument/2006/relationships/hyperlink" Target="calc.xlsx" TargetMode="External"/><Relationship Id="rId23" Type="http://schemas.openxmlformats.org/officeDocument/2006/relationships/hyperlink" Target="calc.xlsx" TargetMode="External"/><Relationship Id="rId24" Type="http://schemas.openxmlformats.org/officeDocument/2006/relationships/hyperlink" Target="calc.xlsx" TargetMode="External"/><Relationship Id="rId25" Type="http://schemas.openxmlformats.org/officeDocument/2006/relationships/hyperlink" Target="calc.xlsx" TargetMode="External"/><Relationship Id="rId26" Type="http://schemas.openxmlformats.org/officeDocument/2006/relationships/hyperlink" Target="https://themountainpathacademy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3366"/>
    <pageSetUpPr fitToPage="true"/>
  </sheetPr>
  <dimension ref="B1:H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26"/>
    <col collapsed="false" customWidth="true" hidden="false" outlineLevel="0" max="4" min="4" style="0" width="70"/>
    <col collapsed="false" customWidth="true" hidden="false" outlineLevel="0" max="8" min="5" style="0" width="4"/>
  </cols>
  <sheetData>
    <row r="1" customFormat="false" ht="36" hidden="false" customHeight="true" outlineLevel="0" collapsed="false">
      <c r="B1" s="1" t="s">
        <v>0</v>
      </c>
      <c r="C1" s="1"/>
      <c r="D1" s="1"/>
      <c r="E1" s="1"/>
      <c r="F1" s="1"/>
      <c r="G1" s="1"/>
      <c r="H1" s="1"/>
    </row>
    <row r="2" customFormat="false" ht="19.5" hidden="false" customHeight="true" outlineLevel="0" collapsed="false">
      <c r="B2" s="2" t="s">
        <v>1</v>
      </c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B4" s="3" t="s">
        <v>2</v>
      </c>
      <c r="C4" s="3"/>
      <c r="D4" s="3"/>
      <c r="E4" s="3"/>
      <c r="F4" s="3"/>
      <c r="G4" s="3"/>
      <c r="H4" s="3"/>
    </row>
    <row r="5" customFormat="false" ht="15" hidden="false" customHeight="false" outlineLevel="0" collapsed="false">
      <c r="B5" s="4" t="s">
        <v>3</v>
      </c>
      <c r="C5" s="4"/>
      <c r="D5" s="4"/>
      <c r="E5" s="4"/>
      <c r="F5" s="4"/>
      <c r="G5" s="4"/>
      <c r="H5" s="4"/>
    </row>
    <row r="6" customFormat="false" ht="30" hidden="false" customHeight="true" outlineLevel="0" collapsed="false">
      <c r="B6" s="5" t="s">
        <v>4</v>
      </c>
      <c r="C6" s="5"/>
      <c r="D6" s="5"/>
      <c r="E6" s="5"/>
      <c r="F6" s="5"/>
      <c r="G6" s="5"/>
      <c r="H6" s="5"/>
    </row>
    <row r="8" customFormat="false" ht="19.5" hidden="false" customHeight="true" outlineLevel="0" collapsed="false">
      <c r="B8" s="6" t="s">
        <v>5</v>
      </c>
      <c r="C8" s="6"/>
      <c r="D8" s="6"/>
      <c r="E8" s="6"/>
      <c r="F8" s="6"/>
      <c r="G8" s="6"/>
      <c r="H8" s="6"/>
    </row>
    <row r="9" customFormat="false" ht="30" hidden="false" customHeight="true" outlineLevel="0" collapsed="false">
      <c r="B9" s="7" t="s">
        <v>6</v>
      </c>
      <c r="C9" s="7" t="s">
        <v>7</v>
      </c>
      <c r="D9" s="7" t="s">
        <v>8</v>
      </c>
    </row>
    <row r="10" customFormat="false" ht="27.75" hidden="false" customHeight="true" outlineLevel="0" collapsed="false">
      <c r="B10" s="8" t="n">
        <v>1</v>
      </c>
      <c r="C10" s="9" t="s">
        <v>9</v>
      </c>
      <c r="D10" s="10" t="s">
        <v>10</v>
      </c>
      <c r="E10" s="10"/>
      <c r="F10" s="10"/>
      <c r="G10" s="10"/>
      <c r="H10" s="10"/>
    </row>
    <row r="11" customFormat="false" ht="27.75" hidden="false" customHeight="true" outlineLevel="0" collapsed="false">
      <c r="B11" s="8" t="n">
        <v>2</v>
      </c>
      <c r="C11" s="9" t="s">
        <v>11</v>
      </c>
      <c r="D11" s="10" t="s">
        <v>12</v>
      </c>
      <c r="E11" s="10"/>
      <c r="F11" s="10"/>
      <c r="G11" s="10"/>
      <c r="H11" s="10"/>
    </row>
    <row r="12" customFormat="false" ht="27.75" hidden="false" customHeight="true" outlineLevel="0" collapsed="false">
      <c r="B12" s="8" t="n">
        <v>3</v>
      </c>
      <c r="C12" s="9" t="s">
        <v>13</v>
      </c>
      <c r="D12" s="10" t="s">
        <v>14</v>
      </c>
      <c r="E12" s="10"/>
      <c r="F12" s="10"/>
      <c r="G12" s="10"/>
      <c r="H12" s="10"/>
    </row>
    <row r="13" customFormat="false" ht="27.75" hidden="false" customHeight="true" outlineLevel="0" collapsed="false">
      <c r="B13" s="8" t="n">
        <v>4</v>
      </c>
      <c r="C13" s="9" t="s">
        <v>15</v>
      </c>
      <c r="D13" s="10" t="s">
        <v>16</v>
      </c>
      <c r="E13" s="10"/>
      <c r="F13" s="10"/>
      <c r="G13" s="10"/>
      <c r="H13" s="10"/>
    </row>
    <row r="14" customFormat="false" ht="27.75" hidden="false" customHeight="true" outlineLevel="0" collapsed="false">
      <c r="B14" s="8" t="n">
        <v>5</v>
      </c>
      <c r="C14" s="9" t="s">
        <v>17</v>
      </c>
      <c r="D14" s="10" t="s">
        <v>18</v>
      </c>
      <c r="E14" s="10"/>
      <c r="F14" s="10"/>
      <c r="G14" s="10"/>
      <c r="H14" s="10"/>
    </row>
    <row r="15" customFormat="false" ht="27.75" hidden="false" customHeight="true" outlineLevel="0" collapsed="false">
      <c r="B15" s="8" t="n">
        <v>6</v>
      </c>
      <c r="C15" s="9" t="s">
        <v>19</v>
      </c>
      <c r="D15" s="10" t="s">
        <v>20</v>
      </c>
      <c r="E15" s="10"/>
      <c r="F15" s="10"/>
      <c r="G15" s="10"/>
      <c r="H15" s="10"/>
    </row>
    <row r="16" customFormat="false" ht="27.75" hidden="false" customHeight="true" outlineLevel="0" collapsed="false">
      <c r="B16" s="8" t="n">
        <v>7</v>
      </c>
      <c r="C16" s="9" t="s">
        <v>21</v>
      </c>
      <c r="D16" s="10" t="s">
        <v>22</v>
      </c>
      <c r="E16" s="10"/>
      <c r="F16" s="10"/>
      <c r="G16" s="10"/>
      <c r="H16" s="10"/>
    </row>
    <row r="17" customFormat="false" ht="27.75" hidden="false" customHeight="true" outlineLevel="0" collapsed="false">
      <c r="B17" s="8" t="n">
        <v>8</v>
      </c>
      <c r="C17" s="9" t="s">
        <v>23</v>
      </c>
      <c r="D17" s="10" t="s">
        <v>24</v>
      </c>
      <c r="E17" s="10"/>
      <c r="F17" s="10"/>
      <c r="G17" s="10"/>
      <c r="H17" s="10"/>
    </row>
    <row r="18" customFormat="false" ht="27.75" hidden="false" customHeight="true" outlineLevel="0" collapsed="false">
      <c r="B18" s="8" t="n">
        <v>9</v>
      </c>
      <c r="C18" s="9" t="s">
        <v>25</v>
      </c>
      <c r="D18" s="10" t="s">
        <v>26</v>
      </c>
      <c r="E18" s="10"/>
      <c r="F18" s="10"/>
      <c r="G18" s="10"/>
      <c r="H18" s="10"/>
    </row>
    <row r="20" customFormat="false" ht="19.5" hidden="false" customHeight="true" outlineLevel="0" collapsed="false">
      <c r="B20" s="6" t="s">
        <v>27</v>
      </c>
      <c r="C20" s="6"/>
      <c r="D20" s="6"/>
      <c r="E20" s="6"/>
      <c r="F20" s="6"/>
      <c r="G20" s="6"/>
      <c r="H20" s="6"/>
    </row>
    <row r="21" customFormat="false" ht="15" hidden="false" customHeight="false" outlineLevel="0" collapsed="false">
      <c r="C21" s="11" t="s">
        <v>28</v>
      </c>
      <c r="D21" s="12" t="s">
        <v>29</v>
      </c>
      <c r="E21" s="12"/>
      <c r="F21" s="12"/>
      <c r="G21" s="12"/>
      <c r="H21" s="12"/>
    </row>
    <row r="22" customFormat="false" ht="15" hidden="false" customHeight="false" outlineLevel="0" collapsed="false">
      <c r="C22" s="12" t="s">
        <v>30</v>
      </c>
      <c r="D22" s="12" t="s">
        <v>31</v>
      </c>
      <c r="E22" s="12"/>
      <c r="F22" s="12"/>
      <c r="G22" s="12"/>
      <c r="H22" s="12"/>
    </row>
    <row r="23" customFormat="false" ht="15" hidden="false" customHeight="false" outlineLevel="0" collapsed="false">
      <c r="C23" s="13" t="s">
        <v>32</v>
      </c>
      <c r="D23" s="12" t="s">
        <v>33</v>
      </c>
      <c r="E23" s="12"/>
      <c r="F23" s="12"/>
      <c r="G23" s="12"/>
      <c r="H23" s="12"/>
    </row>
    <row r="25" customFormat="false" ht="42" hidden="false" customHeight="true" outlineLevel="0" collapsed="false">
      <c r="B25" s="14" t="s">
        <v>34</v>
      </c>
      <c r="C25" s="14"/>
      <c r="D25" s="14"/>
      <c r="E25" s="14"/>
      <c r="F25" s="14"/>
      <c r="G25" s="14"/>
      <c r="H25" s="14"/>
    </row>
    <row r="27" customFormat="false" ht="15" hidden="false" customHeight="false" outlineLevel="0" collapsed="false">
      <c r="C27" s="15" t="s">
        <v>35</v>
      </c>
      <c r="D27" s="16" t="s">
        <v>36</v>
      </c>
    </row>
    <row r="28" customFormat="false" ht="15" hidden="false" customHeight="false" outlineLevel="0" collapsed="false">
      <c r="C28" s="15" t="s">
        <v>37</v>
      </c>
      <c r="D28" s="16" t="s">
        <v>38</v>
      </c>
    </row>
    <row r="30" customFormat="false" ht="19.5" hidden="false" customHeight="true" outlineLevel="0" collapsed="false">
      <c r="B30" s="17" t="s">
        <v>39</v>
      </c>
      <c r="C30" s="17"/>
      <c r="D30" s="17"/>
      <c r="E30" s="17"/>
      <c r="F30" s="17"/>
      <c r="G30" s="17"/>
      <c r="H30" s="17"/>
    </row>
  </sheetData>
  <mergeCells count="21">
    <mergeCell ref="B1:H1"/>
    <mergeCell ref="B2:H2"/>
    <mergeCell ref="B4:H4"/>
    <mergeCell ref="B5:H5"/>
    <mergeCell ref="B6:H6"/>
    <mergeCell ref="B8:H8"/>
    <mergeCell ref="D10:H10"/>
    <mergeCell ref="D11:H11"/>
    <mergeCell ref="D12:H12"/>
    <mergeCell ref="D13:H13"/>
    <mergeCell ref="D14:H14"/>
    <mergeCell ref="D15:H15"/>
    <mergeCell ref="D16:H16"/>
    <mergeCell ref="D17:H17"/>
    <mergeCell ref="D18:H18"/>
    <mergeCell ref="B20:H20"/>
    <mergeCell ref="D21:H21"/>
    <mergeCell ref="D22:H22"/>
    <mergeCell ref="D23:H23"/>
    <mergeCell ref="B25:H25"/>
    <mergeCell ref="B30:H30"/>
  </mergeCells>
  <hyperlinks>
    <hyperlink ref="B5" r:id="rId1" display="The Mountain Path Academy — https://themountainpathacademy.com"/>
    <hyperlink ref="C10" r:id="rId2" location="'Concepts'!A1" display="Concepts"/>
    <hyperlink ref="C11" r:id="rId3" location="'Inputs'!A1" display="Inputs"/>
    <hyperlink ref="C12" r:id="rId4" location="'Bond_Analytics'!A1" display="Bond_Analytics"/>
    <hyperlink ref="C13" r:id="rId5" location="'Barbell_vs_Bullet'!A1" display="Barbell_vs_Bullet"/>
    <hyperlink ref="C14" r:id="rId6" location="'Scenarios'!A1" display="Scenarios"/>
    <hyperlink ref="C15" r:id="rId7" location="'Shift_Curve'!A1" display="Shift_Curve"/>
    <hyperlink ref="C16" r:id="rId8" location="'Taleb_Barbell'!A1" display="Taleb_Barbell"/>
    <hyperlink ref="C17" r:id="rId9" location="'Comparison'!A1" display="Comparison"/>
    <hyperlink ref="C18" r:id="rId10" location="'Q&amp;A'!A1" display="Q&amp;A"/>
    <hyperlink ref="D27" r:id="rId11" display="https://www.linkedin.com/in/trichyravis"/>
    <hyperlink ref="D28" r:id="rId12" display="https://github.com/trichyravis"/>
    <hyperlink ref="B30" r:id="rId13" display="Prof. V. Ravichandran  |  The Mountain Path Academy  | 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&amp;Chttps://themountainpathacademy.com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3366"/>
    <pageSetUpPr fitToPage="true"/>
  </sheetPr>
  <dimension ref="B1:F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5" min="3" style="0" width="40"/>
    <col collapsed="false" customWidth="true" hidden="false" outlineLevel="0" max="6" min="6" style="0" width="2"/>
  </cols>
  <sheetData>
    <row r="1" customFormat="false" ht="36" hidden="false" customHeight="true" outlineLevel="0" collapsed="false">
      <c r="B1" s="1" t="s">
        <v>40</v>
      </c>
      <c r="C1" s="1"/>
      <c r="D1" s="1"/>
      <c r="E1" s="1"/>
      <c r="F1" s="1"/>
    </row>
    <row r="2" customFormat="false" ht="19.5" hidden="false" customHeight="true" outlineLevel="0" collapsed="false">
      <c r="B2" s="2" t="s">
        <v>41</v>
      </c>
      <c r="C2" s="2"/>
      <c r="D2" s="2"/>
      <c r="E2" s="2"/>
      <c r="F2" s="2"/>
    </row>
    <row r="4" customFormat="false" ht="19.5" hidden="false" customHeight="true" outlineLevel="0" collapsed="false">
      <c r="B4" s="6" t="s">
        <v>42</v>
      </c>
      <c r="C4" s="6"/>
      <c r="D4" s="6"/>
      <c r="E4" s="6"/>
    </row>
    <row r="5" customFormat="false" ht="30" hidden="false" customHeight="true" outlineLevel="0" collapsed="false">
      <c r="B5" s="18" t="s">
        <v>43</v>
      </c>
      <c r="C5" s="10" t="s">
        <v>44</v>
      </c>
      <c r="D5" s="10"/>
      <c r="E5" s="10"/>
    </row>
    <row r="6" customFormat="false" ht="30" hidden="false" customHeight="true" outlineLevel="0" collapsed="false">
      <c r="B6" s="18" t="s">
        <v>45</v>
      </c>
      <c r="C6" s="10" t="s">
        <v>46</v>
      </c>
      <c r="D6" s="10"/>
      <c r="E6" s="10"/>
    </row>
    <row r="7" customFormat="false" ht="30" hidden="false" customHeight="true" outlineLevel="0" collapsed="false">
      <c r="B7" s="18" t="s">
        <v>47</v>
      </c>
      <c r="C7" s="10" t="s">
        <v>48</v>
      </c>
      <c r="D7" s="10"/>
      <c r="E7" s="10"/>
    </row>
    <row r="8" customFormat="false" ht="30" hidden="false" customHeight="true" outlineLevel="0" collapsed="false">
      <c r="B8" s="18" t="s">
        <v>49</v>
      </c>
      <c r="C8" s="10" t="s">
        <v>50</v>
      </c>
      <c r="D8" s="10"/>
      <c r="E8" s="10"/>
    </row>
    <row r="10" customFormat="false" ht="19.5" hidden="false" customHeight="true" outlineLevel="0" collapsed="false">
      <c r="B10" s="6" t="s">
        <v>51</v>
      </c>
      <c r="C10" s="6"/>
      <c r="D10" s="6"/>
      <c r="E10" s="6"/>
    </row>
    <row r="11" customFormat="false" ht="30" hidden="false" customHeight="true" outlineLevel="0" collapsed="false">
      <c r="B11" s="18" t="s">
        <v>52</v>
      </c>
      <c r="C11" s="10" t="s">
        <v>53</v>
      </c>
      <c r="D11" s="10"/>
      <c r="E11" s="10"/>
    </row>
    <row r="12" customFormat="false" ht="30" hidden="false" customHeight="true" outlineLevel="0" collapsed="false">
      <c r="B12" s="18" t="s">
        <v>54</v>
      </c>
      <c r="C12" s="10" t="s">
        <v>55</v>
      </c>
      <c r="D12" s="10"/>
      <c r="E12" s="10"/>
    </row>
    <row r="13" customFormat="false" ht="30" hidden="false" customHeight="true" outlineLevel="0" collapsed="false">
      <c r="B13" s="18" t="s">
        <v>56</v>
      </c>
      <c r="C13" s="10" t="s">
        <v>57</v>
      </c>
      <c r="D13" s="10"/>
      <c r="E13" s="10"/>
    </row>
    <row r="14" customFormat="false" ht="45" hidden="false" customHeight="true" outlineLevel="0" collapsed="false">
      <c r="B14" s="18" t="s">
        <v>58</v>
      </c>
      <c r="C14" s="10" t="s">
        <v>59</v>
      </c>
      <c r="D14" s="10"/>
      <c r="E14" s="10"/>
    </row>
    <row r="16" customFormat="false" ht="19.5" hidden="false" customHeight="true" outlineLevel="0" collapsed="false">
      <c r="B16" s="6" t="s">
        <v>60</v>
      </c>
      <c r="C16" s="6"/>
      <c r="D16" s="6"/>
      <c r="E16" s="6"/>
    </row>
    <row r="17" customFormat="false" ht="30" hidden="false" customHeight="true" outlineLevel="0" collapsed="false">
      <c r="B17" s="18" t="s">
        <v>61</v>
      </c>
      <c r="C17" s="10" t="s">
        <v>62</v>
      </c>
      <c r="D17" s="10"/>
      <c r="E17" s="10"/>
    </row>
    <row r="18" customFormat="false" ht="30" hidden="false" customHeight="true" outlineLevel="0" collapsed="false">
      <c r="B18" s="18" t="s">
        <v>63</v>
      </c>
      <c r="C18" s="10" t="s">
        <v>64</v>
      </c>
      <c r="D18" s="10"/>
      <c r="E18" s="10"/>
    </row>
    <row r="19" customFormat="false" ht="30" hidden="false" customHeight="true" outlineLevel="0" collapsed="false">
      <c r="B19" s="18" t="s">
        <v>65</v>
      </c>
      <c r="C19" s="10" t="s">
        <v>66</v>
      </c>
      <c r="D19" s="10"/>
      <c r="E19" s="10"/>
    </row>
    <row r="20" customFormat="false" ht="30" hidden="false" customHeight="true" outlineLevel="0" collapsed="false">
      <c r="B20" s="18" t="s">
        <v>67</v>
      </c>
      <c r="C20" s="10" t="s">
        <v>68</v>
      </c>
      <c r="D20" s="10"/>
      <c r="E20" s="10"/>
    </row>
    <row r="22" customFormat="false" ht="19.5" hidden="false" customHeight="true" outlineLevel="0" collapsed="false">
      <c r="B22" s="6" t="s">
        <v>69</v>
      </c>
      <c r="C22" s="6"/>
      <c r="D22" s="6"/>
      <c r="E22" s="6"/>
    </row>
    <row r="23" customFormat="false" ht="30" hidden="false" customHeight="true" outlineLevel="0" collapsed="false">
      <c r="B23" s="18" t="s">
        <v>43</v>
      </c>
      <c r="C23" s="10" t="s">
        <v>70</v>
      </c>
      <c r="D23" s="10"/>
      <c r="E23" s="10"/>
    </row>
    <row r="24" customFormat="false" ht="30" hidden="false" customHeight="true" outlineLevel="0" collapsed="false">
      <c r="B24" s="18" t="s">
        <v>71</v>
      </c>
      <c r="C24" s="10" t="s">
        <v>72</v>
      </c>
      <c r="D24" s="10"/>
      <c r="E24" s="10"/>
    </row>
    <row r="25" customFormat="false" ht="30" hidden="false" customHeight="true" outlineLevel="0" collapsed="false">
      <c r="B25" s="18" t="s">
        <v>73</v>
      </c>
      <c r="C25" s="10" t="s">
        <v>74</v>
      </c>
      <c r="D25" s="10"/>
      <c r="E25" s="10"/>
    </row>
    <row r="26" customFormat="false" ht="45" hidden="false" customHeight="true" outlineLevel="0" collapsed="false">
      <c r="B26" s="18" t="s">
        <v>75</v>
      </c>
      <c r="C26" s="10" t="s">
        <v>76</v>
      </c>
      <c r="D26" s="10"/>
      <c r="E26" s="10"/>
    </row>
    <row r="28" customFormat="false" ht="19.5" hidden="false" customHeight="true" outlineLevel="0" collapsed="false">
      <c r="B28" s="6" t="s">
        <v>77</v>
      </c>
      <c r="C28" s="6"/>
      <c r="D28" s="6"/>
      <c r="E28" s="6"/>
    </row>
    <row r="29" customFormat="false" ht="30" hidden="false" customHeight="true" outlineLevel="0" collapsed="false">
      <c r="B29" s="18" t="s">
        <v>78</v>
      </c>
      <c r="C29" s="10" t="s">
        <v>79</v>
      </c>
      <c r="D29" s="10"/>
      <c r="E29" s="10"/>
    </row>
    <row r="30" customFormat="false" ht="30" hidden="false" customHeight="true" outlineLevel="0" collapsed="false">
      <c r="B30" s="18" t="s">
        <v>80</v>
      </c>
      <c r="C30" s="10" t="s">
        <v>81</v>
      </c>
      <c r="D30" s="10"/>
      <c r="E30" s="10"/>
    </row>
    <row r="31" customFormat="false" ht="45" hidden="false" customHeight="true" outlineLevel="0" collapsed="false">
      <c r="B31" s="18" t="s">
        <v>82</v>
      </c>
      <c r="C31" s="10" t="s">
        <v>83</v>
      </c>
      <c r="D31" s="10"/>
      <c r="E31" s="10"/>
    </row>
    <row r="32" customFormat="false" ht="30" hidden="false" customHeight="true" outlineLevel="0" collapsed="false">
      <c r="B32" s="18" t="s">
        <v>84</v>
      </c>
      <c r="C32" s="10" t="s">
        <v>85</v>
      </c>
      <c r="D32" s="10"/>
      <c r="E32" s="10"/>
    </row>
    <row r="34" customFormat="false" ht="19.5" hidden="false" customHeight="true" outlineLevel="0" collapsed="false">
      <c r="B34" s="6" t="s">
        <v>86</v>
      </c>
      <c r="C34" s="6"/>
      <c r="D34" s="6"/>
      <c r="E34" s="6"/>
    </row>
    <row r="35" customFormat="false" ht="30" hidden="false" customHeight="true" outlineLevel="0" collapsed="false">
      <c r="B35" s="18" t="s">
        <v>87</v>
      </c>
      <c r="C35" s="10" t="s">
        <v>88</v>
      </c>
      <c r="D35" s="10"/>
      <c r="E35" s="10"/>
    </row>
    <row r="36" customFormat="false" ht="30" hidden="false" customHeight="true" outlineLevel="0" collapsed="false">
      <c r="B36" s="18" t="s">
        <v>89</v>
      </c>
      <c r="C36" s="10" t="s">
        <v>90</v>
      </c>
      <c r="D36" s="10"/>
      <c r="E36" s="10"/>
    </row>
    <row r="37" customFormat="false" ht="45" hidden="false" customHeight="true" outlineLevel="0" collapsed="false">
      <c r="B37" s="18" t="s">
        <v>91</v>
      </c>
      <c r="C37" s="10" t="s">
        <v>92</v>
      </c>
      <c r="D37" s="10"/>
      <c r="E37" s="10"/>
    </row>
    <row r="38" customFormat="false" ht="30" hidden="false" customHeight="true" outlineLevel="0" collapsed="false">
      <c r="B38" s="18" t="s">
        <v>93</v>
      </c>
      <c r="C38" s="10" t="s">
        <v>94</v>
      </c>
      <c r="D38" s="10"/>
      <c r="E38" s="10"/>
    </row>
    <row r="40" customFormat="false" ht="19.5" hidden="false" customHeight="true" outlineLevel="0" collapsed="false">
      <c r="B40" s="6" t="s">
        <v>95</v>
      </c>
      <c r="C40" s="6"/>
      <c r="D40" s="6"/>
      <c r="E40" s="6"/>
    </row>
    <row r="41" customFormat="false" ht="21.75" hidden="false" customHeight="true" outlineLevel="0" collapsed="false">
      <c r="B41" s="7" t="s">
        <v>96</v>
      </c>
      <c r="C41" s="7" t="s">
        <v>97</v>
      </c>
      <c r="D41" s="7" t="s">
        <v>98</v>
      </c>
      <c r="E41" s="7" t="s">
        <v>99</v>
      </c>
    </row>
    <row r="42" customFormat="false" ht="15" hidden="false" customHeight="false" outlineLevel="0" collapsed="false">
      <c r="B42" s="19" t="s">
        <v>100</v>
      </c>
      <c r="C42" s="10" t="s">
        <v>101</v>
      </c>
      <c r="D42" s="20" t="str">
        <f aca="false">"100% in "&amp;Inputs!C7&amp;"Y"</f>
        <v>100% in 2Y</v>
      </c>
      <c r="E42" s="20" t="str">
        <f aca="false">TEXT(Barbell_vs_Bullet!C7,"0.00%")&amp;" / "&amp;TEXT(Barbell_vs_Bullet!C8,"0.00%")</f>
        <v>71.43% / 28.57%</v>
      </c>
    </row>
    <row r="43" customFormat="false" ht="15" hidden="false" customHeight="false" outlineLevel="0" collapsed="false">
      <c r="B43" s="19" t="s">
        <v>102</v>
      </c>
      <c r="C43" s="10" t="s">
        <v>103</v>
      </c>
      <c r="D43" s="20" t="str">
        <f aca="false">TEXT(Barbell_vs_Bullet!C20,"0.000%")</f>
        <v>4.500%</v>
      </c>
      <c r="E43" s="20" t="str">
        <f aca="false">TEXT(Barbell_vs_Bullet!D20,"0.000%")</f>
        <v>4.286%</v>
      </c>
    </row>
    <row r="44" customFormat="false" ht="15" hidden="false" customHeight="false" outlineLevel="0" collapsed="false">
      <c r="B44" s="19" t="s">
        <v>67</v>
      </c>
      <c r="C44" s="10" t="s">
        <v>104</v>
      </c>
      <c r="D44" s="20" t="str">
        <f aca="false">TEXT(Barbell_vs_Bullet!C21,"0.00")&amp;" yrs"</f>
        <v>10.00 yrs</v>
      </c>
      <c r="E44" s="20" t="str">
        <f aca="false">TEXT(Barbell_vs_Bullet!D21,"0.00")&amp;" yrs"</f>
        <v>10.00 yrs</v>
      </c>
    </row>
    <row r="45" customFormat="false" ht="15" hidden="false" customHeight="false" outlineLevel="0" collapsed="false">
      <c r="B45" s="19" t="s">
        <v>73</v>
      </c>
      <c r="C45" s="10" t="s">
        <v>105</v>
      </c>
      <c r="D45" s="20" t="str">
        <f aca="false">TEXT(Barbell_vs_Bullet!C22,"0.00")</f>
        <v>100.00</v>
      </c>
      <c r="E45" s="20" t="str">
        <f aca="false">TEXT(Barbell_vs_Bullet!D22,"0.00")</f>
        <v>260.00</v>
      </c>
    </row>
    <row r="46" customFormat="false" ht="15" hidden="false" customHeight="false" outlineLevel="0" collapsed="false">
      <c r="B46" s="19" t="s">
        <v>106</v>
      </c>
      <c r="C46" s="10" t="s">
        <v>107</v>
      </c>
      <c r="D46" s="10" t="s">
        <v>108</v>
      </c>
      <c r="E46" s="10" t="s">
        <v>108</v>
      </c>
    </row>
    <row r="47" customFormat="false" ht="15" hidden="false" customHeight="false" outlineLevel="0" collapsed="false">
      <c r="B47" s="19" t="s">
        <v>109</v>
      </c>
      <c r="C47" s="10" t="s">
        <v>110</v>
      </c>
      <c r="D47" s="10" t="s">
        <v>111</v>
      </c>
      <c r="E47" s="10" t="s">
        <v>111</v>
      </c>
    </row>
    <row r="49" customFormat="false" ht="19.5" hidden="false" customHeight="true" outlineLevel="0" collapsed="false">
      <c r="B49" s="17" t="s">
        <v>39</v>
      </c>
      <c r="C49" s="17"/>
      <c r="D49" s="17"/>
      <c r="E49" s="17"/>
    </row>
  </sheetData>
  <mergeCells count="34">
    <mergeCell ref="B1:F1"/>
    <mergeCell ref="B2:F2"/>
    <mergeCell ref="B4:E4"/>
    <mergeCell ref="C5:E5"/>
    <mergeCell ref="C6:E6"/>
    <mergeCell ref="C7:E7"/>
    <mergeCell ref="C8:E8"/>
    <mergeCell ref="B10:E10"/>
    <mergeCell ref="C11:E11"/>
    <mergeCell ref="C12:E12"/>
    <mergeCell ref="C13:E13"/>
    <mergeCell ref="C14:E14"/>
    <mergeCell ref="B16:E16"/>
    <mergeCell ref="C17:E17"/>
    <mergeCell ref="C18:E18"/>
    <mergeCell ref="C19:E19"/>
    <mergeCell ref="C20:E20"/>
    <mergeCell ref="B22:E22"/>
    <mergeCell ref="C23:E23"/>
    <mergeCell ref="C24:E24"/>
    <mergeCell ref="C25:E25"/>
    <mergeCell ref="C26:E26"/>
    <mergeCell ref="B28:E28"/>
    <mergeCell ref="C29:E29"/>
    <mergeCell ref="C30:E30"/>
    <mergeCell ref="C31:E31"/>
    <mergeCell ref="C32:E32"/>
    <mergeCell ref="B34:E34"/>
    <mergeCell ref="C35:E35"/>
    <mergeCell ref="C36:E36"/>
    <mergeCell ref="C37:E37"/>
    <mergeCell ref="C38:E38"/>
    <mergeCell ref="B40:E40"/>
    <mergeCell ref="B49:E49"/>
  </mergeCells>
  <hyperlinks>
    <hyperlink ref="B49" r:id="rId1" display="Prof. V. Ravichandran  |  The Mountain Path Academy  | 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&amp;Chttps://themountainpathacademy.com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D700"/>
    <pageSetUpPr fitToPage="true"/>
  </sheetPr>
  <dimension ref="B1:E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3" min="3" style="0" width="18"/>
    <col collapsed="false" customWidth="true" hidden="false" outlineLevel="0" max="4" min="4" style="0" width="60"/>
    <col collapsed="false" customWidth="true" hidden="false" outlineLevel="0" max="5" min="5" style="0" width="2"/>
  </cols>
  <sheetData>
    <row r="1" customFormat="false" ht="36" hidden="false" customHeight="true" outlineLevel="0" collapsed="false">
      <c r="B1" s="1" t="s">
        <v>112</v>
      </c>
      <c r="C1" s="1"/>
      <c r="D1" s="1"/>
      <c r="E1" s="1"/>
    </row>
    <row r="2" customFormat="false" ht="19.5" hidden="false" customHeight="true" outlineLevel="0" collapsed="false">
      <c r="B2" s="2" t="s">
        <v>113</v>
      </c>
      <c r="C2" s="2"/>
      <c r="D2" s="2"/>
      <c r="E2" s="2"/>
    </row>
    <row r="4" customFormat="false" ht="19.5" hidden="false" customHeight="true" outlineLevel="0" collapsed="false">
      <c r="B4" s="6" t="s">
        <v>114</v>
      </c>
      <c r="C4" s="6"/>
      <c r="D4" s="6"/>
    </row>
    <row r="5" customFormat="false" ht="19.5" hidden="false" customHeight="true" outlineLevel="0" collapsed="false">
      <c r="B5" s="7" t="s">
        <v>115</v>
      </c>
      <c r="C5" s="7" t="s">
        <v>116</v>
      </c>
      <c r="D5" s="7" t="s">
        <v>117</v>
      </c>
    </row>
    <row r="6" customFormat="false" ht="15" hidden="false" customHeight="false" outlineLevel="0" collapsed="false">
      <c r="B6" s="12" t="s">
        <v>118</v>
      </c>
      <c r="C6" s="21" t="n">
        <v>100000000</v>
      </c>
      <c r="D6" s="10" t="s">
        <v>119</v>
      </c>
    </row>
    <row r="7" customFormat="false" ht="15" hidden="false" customHeight="false" outlineLevel="0" collapsed="false">
      <c r="B7" s="12" t="s">
        <v>120</v>
      </c>
      <c r="C7" s="22" t="n">
        <v>2</v>
      </c>
      <c r="D7" s="10" t="s">
        <v>121</v>
      </c>
    </row>
    <row r="8" customFormat="false" ht="15" hidden="false" customHeight="false" outlineLevel="0" collapsed="false">
      <c r="B8" s="12" t="s">
        <v>122</v>
      </c>
      <c r="C8" s="22" t="n">
        <v>10</v>
      </c>
      <c r="D8" s="10" t="s">
        <v>123</v>
      </c>
    </row>
    <row r="9" customFormat="false" ht="15" hidden="false" customHeight="false" outlineLevel="0" collapsed="false">
      <c r="B9" s="12" t="s">
        <v>124</v>
      </c>
      <c r="C9" s="22" t="n">
        <v>30</v>
      </c>
      <c r="D9" s="10" t="s">
        <v>125</v>
      </c>
    </row>
    <row r="11" customFormat="false" ht="19.5" hidden="false" customHeight="true" outlineLevel="0" collapsed="false">
      <c r="B11" s="6" t="s">
        <v>126</v>
      </c>
      <c r="C11" s="6"/>
      <c r="D11" s="6"/>
    </row>
    <row r="12" customFormat="false" ht="19.5" hidden="false" customHeight="true" outlineLevel="0" collapsed="false">
      <c r="B12" s="7" t="s">
        <v>115</v>
      </c>
      <c r="C12" s="7" t="s">
        <v>116</v>
      </c>
      <c r="D12" s="7" t="s">
        <v>117</v>
      </c>
    </row>
    <row r="13" customFormat="false" ht="15" hidden="false" customHeight="false" outlineLevel="0" collapsed="false">
      <c r="B13" s="12" t="s">
        <v>127</v>
      </c>
      <c r="C13" s="23" t="n">
        <v>0.04</v>
      </c>
      <c r="D13" s="12" t="s">
        <v>128</v>
      </c>
    </row>
    <row r="14" customFormat="false" ht="15" hidden="false" customHeight="false" outlineLevel="0" collapsed="false">
      <c r="B14" s="12" t="s">
        <v>129</v>
      </c>
      <c r="C14" s="23" t="n">
        <v>0.045</v>
      </c>
      <c r="D14" s="12" t="s">
        <v>128</v>
      </c>
    </row>
    <row r="15" customFormat="false" ht="15" hidden="false" customHeight="false" outlineLevel="0" collapsed="false">
      <c r="B15" s="12" t="s">
        <v>130</v>
      </c>
      <c r="C15" s="23" t="n">
        <v>0.05</v>
      </c>
      <c r="D15" s="12" t="s">
        <v>128</v>
      </c>
    </row>
    <row r="17" customFormat="false" ht="19.5" hidden="false" customHeight="true" outlineLevel="0" collapsed="false">
      <c r="B17" s="6" t="s">
        <v>131</v>
      </c>
      <c r="C17" s="6"/>
      <c r="D17" s="6"/>
    </row>
    <row r="18" customFormat="false" ht="15" hidden="false" customHeight="false" outlineLevel="0" collapsed="false">
      <c r="B18" s="12" t="s">
        <v>132</v>
      </c>
      <c r="C18" s="24" t="n">
        <f aca="false">C8</f>
        <v>10</v>
      </c>
      <c r="D18" s="12" t="s">
        <v>133</v>
      </c>
    </row>
    <row r="19" customFormat="false" ht="15" hidden="false" customHeight="false" outlineLevel="0" collapsed="false">
      <c r="B19" s="12" t="s">
        <v>134</v>
      </c>
      <c r="C19" s="25" t="n">
        <f aca="false">(C15-C13)*10000</f>
        <v>100</v>
      </c>
      <c r="D19" s="12" t="s">
        <v>135</v>
      </c>
    </row>
    <row r="21" customFormat="false" ht="39.75" hidden="false" customHeight="true" outlineLevel="0" collapsed="false">
      <c r="B21" s="14" t="s">
        <v>136</v>
      </c>
      <c r="C21" s="14"/>
      <c r="D21" s="14"/>
    </row>
    <row r="23" customFormat="false" ht="19.5" hidden="false" customHeight="true" outlineLevel="0" collapsed="false">
      <c r="B23" s="17" t="s">
        <v>39</v>
      </c>
      <c r="C23" s="17"/>
      <c r="D23" s="17"/>
    </row>
  </sheetData>
  <mergeCells count="7">
    <mergeCell ref="B1:E1"/>
    <mergeCell ref="B2:E2"/>
    <mergeCell ref="B4:D4"/>
    <mergeCell ref="B11:D11"/>
    <mergeCell ref="B17:D17"/>
    <mergeCell ref="B21:D21"/>
    <mergeCell ref="B23:D23"/>
  </mergeCells>
  <hyperlinks>
    <hyperlink ref="B23" r:id="rId1" display="Prof. V. Ravichandran  |  The Mountain Path Academy  | 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&amp;Chttps://themountainpathacademy.com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D700"/>
    <pageSetUpPr fitToPage="true"/>
  </sheetPr>
  <dimension ref="B1:L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4" min="3" style="0" width="11"/>
    <col collapsed="false" customWidth="true" hidden="false" outlineLevel="0" max="8" min="5" style="0" width="13"/>
    <col collapsed="false" customWidth="true" hidden="false" outlineLevel="0" max="11" min="9" style="0" width="15"/>
    <col collapsed="false" customWidth="true" hidden="false" outlineLevel="0" max="12" min="12" style="0" width="2"/>
  </cols>
  <sheetData>
    <row r="1" customFormat="false" ht="36" hidden="false" customHeight="true" outlineLevel="0" collapsed="false">
      <c r="B1" s="1" t="s">
        <v>137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9.5" hidden="false" customHeight="true" outlineLevel="0" collapsed="false">
      <c r="B2" s="2" t="s">
        <v>138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9.5" hidden="false" customHeight="true" outlineLevel="0" collapsed="false">
      <c r="B4" s="6" t="s">
        <v>139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43.5" hidden="false" customHeight="true" outlineLevel="0" collapsed="false">
      <c r="B5" s="7" t="s">
        <v>140</v>
      </c>
      <c r="C5" s="7" t="s">
        <v>141</v>
      </c>
      <c r="D5" s="7" t="s">
        <v>142</v>
      </c>
      <c r="E5" s="7" t="s">
        <v>143</v>
      </c>
      <c r="F5" s="7" t="s">
        <v>144</v>
      </c>
      <c r="G5" s="7" t="s">
        <v>145</v>
      </c>
      <c r="H5" s="7" t="s">
        <v>146</v>
      </c>
      <c r="I5" s="7" t="s">
        <v>147</v>
      </c>
      <c r="J5" s="7" t="s">
        <v>148</v>
      </c>
      <c r="K5" s="7" t="s">
        <v>149</v>
      </c>
    </row>
    <row r="6" customFormat="false" ht="15" hidden="false" customHeight="false" outlineLevel="0" collapsed="false">
      <c r="B6" s="26" t="s">
        <v>150</v>
      </c>
      <c r="C6" s="27" t="n">
        <f aca="false">Inputs!C7</f>
        <v>2</v>
      </c>
      <c r="D6" s="28" t="n">
        <f aca="false">Inputs!C13</f>
        <v>0.04</v>
      </c>
      <c r="E6" s="29" t="n">
        <f aca="false">100*EXP(-D6*C6)</f>
        <v>92.3116346386636</v>
      </c>
      <c r="F6" s="30" t="n">
        <f aca="false">C6</f>
        <v>2</v>
      </c>
      <c r="G6" s="30" t="n">
        <f aca="false">F6</f>
        <v>2</v>
      </c>
      <c r="H6" s="30" t="n">
        <f aca="false">C6^2</f>
        <v>4</v>
      </c>
      <c r="I6" s="31" t="n">
        <f aca="false">1000000*G6*0.0001</f>
        <v>200</v>
      </c>
      <c r="J6" s="30" t="n">
        <f aca="false">C6/(1+D6)</f>
        <v>1.92307692307692</v>
      </c>
      <c r="K6" s="30" t="n">
        <f aca="false">C6*(C6+1)/(1+D6)^2</f>
        <v>5.54733727810651</v>
      </c>
    </row>
    <row r="7" customFormat="false" ht="15" hidden="false" customHeight="false" outlineLevel="0" collapsed="false">
      <c r="B7" s="26" t="s">
        <v>151</v>
      </c>
      <c r="C7" s="27" t="n">
        <f aca="false">Inputs!C8</f>
        <v>10</v>
      </c>
      <c r="D7" s="28" t="n">
        <f aca="false">Inputs!C14</f>
        <v>0.045</v>
      </c>
      <c r="E7" s="29" t="n">
        <f aca="false">100*EXP(-D7*C7)</f>
        <v>63.7628151621773</v>
      </c>
      <c r="F7" s="30" t="n">
        <f aca="false">C7</f>
        <v>10</v>
      </c>
      <c r="G7" s="30" t="n">
        <f aca="false">F7</f>
        <v>10</v>
      </c>
      <c r="H7" s="30" t="n">
        <f aca="false">C7^2</f>
        <v>100</v>
      </c>
      <c r="I7" s="31" t="n">
        <f aca="false">1000000*G7*0.0001</f>
        <v>1000</v>
      </c>
      <c r="J7" s="30" t="n">
        <f aca="false">C7/(1+D7)</f>
        <v>9.56937799043062</v>
      </c>
      <c r="K7" s="30" t="n">
        <f aca="false">C7*(C7+1)/(1+D7)^2</f>
        <v>100.730294636112</v>
      </c>
    </row>
    <row r="8" customFormat="false" ht="15" hidden="false" customHeight="false" outlineLevel="0" collapsed="false">
      <c r="B8" s="26" t="s">
        <v>152</v>
      </c>
      <c r="C8" s="27" t="n">
        <f aca="false">Inputs!C9</f>
        <v>30</v>
      </c>
      <c r="D8" s="28" t="n">
        <f aca="false">Inputs!C15</f>
        <v>0.05</v>
      </c>
      <c r="E8" s="29" t="n">
        <f aca="false">100*EXP(-D8*C8)</f>
        <v>22.313016014843</v>
      </c>
      <c r="F8" s="30" t="n">
        <f aca="false">C8</f>
        <v>30</v>
      </c>
      <c r="G8" s="30" t="n">
        <f aca="false">F8</f>
        <v>30</v>
      </c>
      <c r="H8" s="30" t="n">
        <f aca="false">C8^2</f>
        <v>900</v>
      </c>
      <c r="I8" s="31" t="n">
        <f aca="false">1000000*G8*0.0001</f>
        <v>3000</v>
      </c>
      <c r="J8" s="30" t="n">
        <f aca="false">C8/(1+D8)</f>
        <v>28.5714285714286</v>
      </c>
      <c r="K8" s="30" t="n">
        <f aca="false">C8*(C8+1)/(1+D8)^2</f>
        <v>843.537414965986</v>
      </c>
    </row>
    <row r="10" customFormat="false" ht="39.75" hidden="false" customHeight="true" outlineLevel="0" collapsed="false">
      <c r="B10" s="14" t="s">
        <v>153</v>
      </c>
      <c r="C10" s="14"/>
      <c r="D10" s="14"/>
      <c r="E10" s="14"/>
      <c r="F10" s="14"/>
      <c r="G10" s="14"/>
      <c r="H10" s="14"/>
      <c r="I10" s="14"/>
      <c r="J10" s="14"/>
      <c r="K10" s="14"/>
    </row>
    <row r="12" customFormat="false" ht="19.5" hidden="false" customHeight="true" outlineLevel="0" collapsed="false">
      <c r="B12" s="6" t="s">
        <v>154</v>
      </c>
      <c r="C12" s="6"/>
      <c r="D12" s="6"/>
      <c r="E12" s="6"/>
      <c r="F12" s="6"/>
      <c r="G12" s="6"/>
      <c r="H12" s="6"/>
      <c r="I12" s="6"/>
      <c r="J12" s="6"/>
      <c r="K12" s="6"/>
    </row>
    <row r="13" customFormat="false" ht="43.5" hidden="false" customHeight="true" outlineLevel="0" collapsed="false">
      <c r="B13" s="7" t="s">
        <v>140</v>
      </c>
      <c r="C13" s="7" t="s">
        <v>155</v>
      </c>
      <c r="D13" s="7" t="s">
        <v>156</v>
      </c>
      <c r="E13" s="7" t="s">
        <v>157</v>
      </c>
      <c r="F13" s="7" t="s">
        <v>158</v>
      </c>
      <c r="G13" s="7" t="s">
        <v>159</v>
      </c>
      <c r="H13" s="7" t="s">
        <v>160</v>
      </c>
      <c r="I13" s="7" t="s">
        <v>161</v>
      </c>
    </row>
    <row r="14" customFormat="false" ht="15" hidden="false" customHeight="false" outlineLevel="0" collapsed="false">
      <c r="B14" s="26" t="s">
        <v>150</v>
      </c>
      <c r="C14" s="32" t="n">
        <f aca="false">100*EXP(-(D6-0.0001)*C6)</f>
        <v>92.3300988119471</v>
      </c>
      <c r="D14" s="32" t="n">
        <f aca="false">E6</f>
        <v>92.3116346386636</v>
      </c>
      <c r="E14" s="32" t="n">
        <f aca="false">100*EXP(-(D6+0.0001)*C6)</f>
        <v>92.2931741578455</v>
      </c>
      <c r="F14" s="29" t="n">
        <f aca="false">(C14-E14)/(2*D14*0.0001)</f>
        <v>2.00000001333386</v>
      </c>
      <c r="G14" s="33" t="n">
        <f aca="false">(C14+E14-2*D14)/(D14*0.0001^2)</f>
        <v>3.99999999845433</v>
      </c>
      <c r="H14" s="8" t="str">
        <f aca="false">IF(ABS(F14-F6)&lt;0.01,"✔ Yes","✘ No")</f>
        <v>✔ Yes</v>
      </c>
      <c r="I14" s="8" t="str">
        <f aca="false">IF(ABS(G14-H6)&lt;0.5,"✔ Yes","✘ No")</f>
        <v>✔ Yes</v>
      </c>
    </row>
    <row r="15" customFormat="false" ht="15" hidden="false" customHeight="false" outlineLevel="0" collapsed="false">
      <c r="B15" s="26" t="s">
        <v>151</v>
      </c>
      <c r="C15" s="32" t="n">
        <f aca="false">100*EXP(-(D7-0.0001)*C7)</f>
        <v>63.8266098693769</v>
      </c>
      <c r="D15" s="32" t="n">
        <f aca="false">E7</f>
        <v>63.7628151621773</v>
      </c>
      <c r="E15" s="32" t="n">
        <f aca="false">100*EXP(-(D7+0.0001)*C7)</f>
        <v>63.6990842177983</v>
      </c>
      <c r="F15" s="29" t="n">
        <f aca="false">(C15-E15)/(2*D15*0.0001)</f>
        <v>10.0000016666669</v>
      </c>
      <c r="G15" s="33" t="n">
        <f aca="false">(C15+E15-2*D15)/(D15*0.0001^2)</f>
        <v>100.000008331015</v>
      </c>
      <c r="H15" s="8" t="str">
        <f aca="false">IF(ABS(F15-F7)&lt;0.01,"✔ Yes","✘ No")</f>
        <v>✔ Yes</v>
      </c>
      <c r="I15" s="8" t="str">
        <f aca="false">IF(ABS(G15-H7)&lt;0.5,"✔ Yes","✘ No")</f>
        <v>✔ Yes</v>
      </c>
    </row>
    <row r="16" customFormat="false" ht="15" hidden="false" customHeight="false" outlineLevel="0" collapsed="false">
      <c r="B16" s="26" t="s">
        <v>152</v>
      </c>
      <c r="C16" s="32" t="n">
        <f aca="false">100*EXP(-(D8-0.0001)*C8)</f>
        <v>22.3800555719435</v>
      </c>
      <c r="D16" s="32" t="n">
        <f aca="false">E8</f>
        <v>22.313016014843</v>
      </c>
      <c r="E16" s="32" t="n">
        <f aca="false">100*EXP(-(D8+0.0001)*C8)</f>
        <v>22.2461772750372</v>
      </c>
      <c r="F16" s="29" t="n">
        <f aca="false">(C16-E16)/(2*D16*0.0001)</f>
        <v>30.0000450000211</v>
      </c>
      <c r="G16" s="33" t="n">
        <f aca="false">(C16+E16-2*D16)/(D16*0.0001^2)</f>
        <v>900.000675002348</v>
      </c>
      <c r="H16" s="8" t="str">
        <f aca="false">IF(ABS(F16-F8)&lt;0.01,"✔ Yes","✘ No")</f>
        <v>✔ Yes</v>
      </c>
      <c r="I16" s="8" t="str">
        <f aca="false">IF(ABS(G16-H8)&lt;0.5,"✔ Yes","✘ No")</f>
        <v>✔ Yes</v>
      </c>
    </row>
    <row r="19" customFormat="false" ht="19.5" hidden="false" customHeight="true" outlineLevel="0" collapsed="false">
      <c r="B19" s="17" t="s">
        <v>39</v>
      </c>
      <c r="C19" s="17"/>
      <c r="D19" s="17"/>
      <c r="E19" s="17"/>
      <c r="F19" s="17"/>
      <c r="G19" s="17"/>
      <c r="H19" s="17"/>
      <c r="I19" s="17"/>
      <c r="J19" s="17"/>
      <c r="K19" s="17"/>
    </row>
  </sheetData>
  <mergeCells count="6">
    <mergeCell ref="B1:L1"/>
    <mergeCell ref="B2:L2"/>
    <mergeCell ref="B4:K4"/>
    <mergeCell ref="B10:K10"/>
    <mergeCell ref="B12:K12"/>
    <mergeCell ref="B19:K19"/>
  </mergeCells>
  <hyperlinks>
    <hyperlink ref="B19" r:id="rId1" display="Prof. V. Ravichandran  |  The Mountain Path Academy  | 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&amp;Chttps://themountainpathacademy.com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D700"/>
    <pageSetUpPr fitToPage="true"/>
  </sheetPr>
  <dimension ref="B1:H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5" min="3" style="0" width="18"/>
    <col collapsed="false" customWidth="true" hidden="false" outlineLevel="0" max="7" min="6" style="0" width="28"/>
    <col collapsed="false" customWidth="true" hidden="false" outlineLevel="0" max="8" min="8" style="0" width="2"/>
  </cols>
  <sheetData>
    <row r="1" customFormat="false" ht="36" hidden="false" customHeight="true" outlineLevel="0" collapsed="false">
      <c r="B1" s="1" t="s">
        <v>162</v>
      </c>
      <c r="C1" s="1"/>
      <c r="D1" s="1"/>
      <c r="E1" s="1"/>
      <c r="F1" s="1"/>
      <c r="G1" s="1"/>
      <c r="H1" s="1"/>
    </row>
    <row r="2" customFormat="false" ht="19.5" hidden="false" customHeight="true" outlineLevel="0" collapsed="false">
      <c r="B2" s="2" t="s">
        <v>163</v>
      </c>
      <c r="C2" s="2"/>
      <c r="D2" s="2"/>
      <c r="E2" s="2"/>
      <c r="F2" s="2"/>
      <c r="G2" s="2"/>
      <c r="H2" s="2"/>
    </row>
    <row r="4" customFormat="false" ht="19.5" hidden="false" customHeight="true" outlineLevel="0" collapsed="false">
      <c r="B4" s="6" t="s">
        <v>164</v>
      </c>
      <c r="C4" s="6"/>
      <c r="D4" s="6"/>
      <c r="E4" s="6"/>
      <c r="F4" s="6"/>
      <c r="G4" s="6"/>
    </row>
    <row r="5" customFormat="false" ht="15" hidden="false" customHeight="false" outlineLevel="0" collapsed="false">
      <c r="B5" s="34" t="s">
        <v>165</v>
      </c>
      <c r="C5" s="34"/>
      <c r="D5" s="34"/>
      <c r="E5" s="34"/>
      <c r="F5" s="34"/>
      <c r="G5" s="34"/>
    </row>
    <row r="6" customFormat="false" ht="15" hidden="false" customHeight="false" outlineLevel="0" collapsed="false">
      <c r="B6" s="15" t="s">
        <v>166</v>
      </c>
      <c r="C6" s="35" t="n">
        <f aca="false">Bond_Analytics!F7</f>
        <v>10</v>
      </c>
    </row>
    <row r="7" customFormat="false" ht="15" hidden="false" customHeight="false" outlineLevel="0" collapsed="false">
      <c r="B7" s="15" t="s">
        <v>167</v>
      </c>
      <c r="C7" s="28" t="n">
        <f aca="false">(Bond_Analytics!F8-C6)/(Bond_Analytics!F8-Bond_Analytics!F6)</f>
        <v>0.714285714285714</v>
      </c>
    </row>
    <row r="8" customFormat="false" ht="15" hidden="false" customHeight="false" outlineLevel="0" collapsed="false">
      <c r="B8" s="15" t="s">
        <v>168</v>
      </c>
      <c r="C8" s="36" t="n">
        <f aca="false">1-C7</f>
        <v>0.285714285714286</v>
      </c>
    </row>
    <row r="9" customFormat="false" ht="15" hidden="false" customHeight="false" outlineLevel="0" collapsed="false">
      <c r="B9" s="15" t="s">
        <v>169</v>
      </c>
      <c r="C9" s="35" t="n">
        <f aca="false">C7*Bond_Analytics!F6+C8*Bond_Analytics!F8</f>
        <v>10</v>
      </c>
      <c r="D9" s="37" t="str">
        <f aca="false">IF(ABS(C9-C6)&lt;0.000001,"✔ Duration matched","✘ Not matched")</f>
        <v>✔ Duration matched</v>
      </c>
    </row>
    <row r="11" customFormat="false" ht="19.5" hidden="false" customHeight="true" outlineLevel="0" collapsed="false">
      <c r="B11" s="6" t="s">
        <v>170</v>
      </c>
      <c r="C11" s="6"/>
      <c r="D11" s="6"/>
      <c r="E11" s="6"/>
      <c r="F11" s="6"/>
      <c r="G11" s="6"/>
    </row>
    <row r="12" customFormat="false" ht="21.75" hidden="false" customHeight="true" outlineLevel="0" collapsed="false">
      <c r="B12" s="7" t="s">
        <v>171</v>
      </c>
      <c r="C12" s="7" t="s">
        <v>172</v>
      </c>
      <c r="D12" s="7" t="s">
        <v>173</v>
      </c>
      <c r="E12" s="7" t="s">
        <v>174</v>
      </c>
      <c r="F12" s="7" t="s">
        <v>175</v>
      </c>
      <c r="G12" s="7" t="s">
        <v>176</v>
      </c>
    </row>
    <row r="13" customFormat="false" ht="15" hidden="false" customHeight="false" outlineLevel="0" collapsed="false">
      <c r="B13" s="26" t="s">
        <v>150</v>
      </c>
      <c r="C13" s="38" t="n">
        <f aca="false">Bond_Analytics!C6</f>
        <v>2</v>
      </c>
      <c r="D13" s="23" t="n">
        <v>0</v>
      </c>
      <c r="E13" s="36" t="n">
        <f aca="false">C7</f>
        <v>0.714285714285714</v>
      </c>
      <c r="F13" s="39" t="n">
        <f aca="false">D13*Inputs!$C$6</f>
        <v>0</v>
      </c>
      <c r="G13" s="39" t="n">
        <f aca="false">E13*Inputs!$C$6</f>
        <v>71428571.4285714</v>
      </c>
    </row>
    <row r="14" customFormat="false" ht="15" hidden="false" customHeight="false" outlineLevel="0" collapsed="false">
      <c r="B14" s="26" t="s">
        <v>151</v>
      </c>
      <c r="C14" s="38" t="n">
        <f aca="false">Bond_Analytics!C7</f>
        <v>10</v>
      </c>
      <c r="D14" s="23" t="n">
        <v>1</v>
      </c>
      <c r="E14" s="36" t="n">
        <v>0</v>
      </c>
      <c r="F14" s="39" t="n">
        <f aca="false">D14*Inputs!$C$6</f>
        <v>100000000</v>
      </c>
      <c r="G14" s="39" t="n">
        <f aca="false">E14*Inputs!$C$6</f>
        <v>0</v>
      </c>
    </row>
    <row r="15" customFormat="false" ht="15" hidden="false" customHeight="false" outlineLevel="0" collapsed="false">
      <c r="B15" s="26" t="s">
        <v>152</v>
      </c>
      <c r="C15" s="38" t="n">
        <f aca="false">Bond_Analytics!C8</f>
        <v>30</v>
      </c>
      <c r="D15" s="23" t="n">
        <v>0</v>
      </c>
      <c r="E15" s="36" t="n">
        <f aca="false">C8</f>
        <v>0.285714285714286</v>
      </c>
      <c r="F15" s="39" t="n">
        <f aca="false">D15*Inputs!$C$6</f>
        <v>0</v>
      </c>
      <c r="G15" s="39" t="n">
        <f aca="false">E15*Inputs!$C$6</f>
        <v>28571428.5714286</v>
      </c>
    </row>
    <row r="16" customFormat="false" ht="15" hidden="false" customHeight="false" outlineLevel="0" collapsed="false">
      <c r="B16" s="15" t="s">
        <v>177</v>
      </c>
      <c r="D16" s="40" t="n">
        <f aca="false">SUM(D13:D15)</f>
        <v>1</v>
      </c>
      <c r="E16" s="40" t="n">
        <f aca="false">SUM(E13:E15)</f>
        <v>1</v>
      </c>
      <c r="F16" s="41" t="n">
        <f aca="false">SUM(F13:F15)</f>
        <v>100000000</v>
      </c>
      <c r="G16" s="41" t="n">
        <f aca="false">SUM(G13:G15)</f>
        <v>100000000</v>
      </c>
    </row>
    <row r="17" customFormat="false" ht="15" hidden="false" customHeight="true" outlineLevel="0" collapsed="false">
      <c r="B17" s="14" t="s">
        <v>178</v>
      </c>
      <c r="C17" s="14"/>
      <c r="D17" s="14"/>
      <c r="E17" s="14"/>
      <c r="F17" s="14"/>
      <c r="G17" s="14"/>
    </row>
    <row r="18" customFormat="false" ht="19.5" hidden="false" customHeight="true" outlineLevel="0" collapsed="false">
      <c r="B18" s="6" t="s">
        <v>179</v>
      </c>
      <c r="C18" s="6"/>
      <c r="D18" s="6"/>
      <c r="E18" s="6"/>
      <c r="F18" s="6"/>
      <c r="G18" s="6"/>
    </row>
    <row r="19" customFormat="false" ht="21.75" hidden="false" customHeight="true" outlineLevel="0" collapsed="false">
      <c r="B19" s="7" t="s">
        <v>180</v>
      </c>
      <c r="C19" s="7" t="s">
        <v>181</v>
      </c>
      <c r="D19" s="7" t="s">
        <v>182</v>
      </c>
      <c r="E19" s="7" t="s">
        <v>183</v>
      </c>
      <c r="F19" s="7" t="s">
        <v>184</v>
      </c>
      <c r="G19" s="7"/>
    </row>
    <row r="20" customFormat="false" ht="15" hidden="false" customHeight="true" outlineLevel="0" collapsed="false">
      <c r="B20" s="26" t="s">
        <v>102</v>
      </c>
      <c r="C20" s="42" t="n">
        <f aca="false">SUMPRODUCT(D13:D15,Bond_Analytics!$D$6:$D$8)</f>
        <v>0.045</v>
      </c>
      <c r="D20" s="42" t="n">
        <f aca="false">SUMPRODUCT(E13:E15,Bond_Analytics!$D$6:$D$8)</f>
        <v>0.0428571428571429</v>
      </c>
      <c r="E20" s="43" t="n">
        <f aca="false">D20-C20</f>
        <v>-0.00214285714285714</v>
      </c>
      <c r="F20" s="10" t="s">
        <v>185</v>
      </c>
      <c r="G20" s="10"/>
    </row>
    <row r="21" customFormat="false" ht="15" hidden="false" customHeight="true" outlineLevel="0" collapsed="false">
      <c r="B21" s="26" t="s">
        <v>186</v>
      </c>
      <c r="C21" s="35" t="n">
        <f aca="false">SUMPRODUCT(D13:D15,Bond_Analytics!$F$6:$F$8)</f>
        <v>10</v>
      </c>
      <c r="D21" s="35" t="n">
        <f aca="false">SUMPRODUCT(E13:E15,Bond_Analytics!$F$6:$F$8)</f>
        <v>10</v>
      </c>
      <c r="E21" s="30" t="n">
        <f aca="false">D21-C21</f>
        <v>0</v>
      </c>
      <c r="F21" s="10" t="s">
        <v>187</v>
      </c>
      <c r="G21" s="10"/>
    </row>
    <row r="22" customFormat="false" ht="15" hidden="false" customHeight="true" outlineLevel="0" collapsed="false">
      <c r="B22" s="26" t="s">
        <v>188</v>
      </c>
      <c r="C22" s="35" t="n">
        <f aca="false">SUMPRODUCT(D13:D15,Bond_Analytics!$H$6:$H$8)</f>
        <v>100</v>
      </c>
      <c r="D22" s="35" t="n">
        <f aca="false">SUMPRODUCT(E13:E15,Bond_Analytics!$H$6:$H$8)</f>
        <v>260</v>
      </c>
      <c r="E22" s="30" t="n">
        <f aca="false">D22-C22</f>
        <v>160</v>
      </c>
      <c r="F22" s="10" t="s">
        <v>189</v>
      </c>
      <c r="G22" s="10"/>
    </row>
    <row r="23" customFormat="false" ht="15" hidden="false" customHeight="true" outlineLevel="0" collapsed="false">
      <c r="B23" s="26" t="s">
        <v>190</v>
      </c>
      <c r="C23" s="30" t="n">
        <f aca="false">C21^2</f>
        <v>100</v>
      </c>
      <c r="D23" s="30" t="n">
        <f aca="false">D21^2</f>
        <v>100</v>
      </c>
      <c r="E23" s="30" t="n">
        <f aca="false">D23-C23</f>
        <v>0</v>
      </c>
      <c r="F23" s="10" t="s">
        <v>191</v>
      </c>
      <c r="G23" s="10"/>
    </row>
    <row r="24" customFormat="false" ht="15" hidden="false" customHeight="true" outlineLevel="0" collapsed="false">
      <c r="B24" s="26" t="s">
        <v>192</v>
      </c>
      <c r="C24" s="30" t="n">
        <f aca="false">C22-C23</f>
        <v>0</v>
      </c>
      <c r="D24" s="30" t="n">
        <f aca="false">D22-D23</f>
        <v>160</v>
      </c>
      <c r="E24" s="30" t="n">
        <f aca="false">D24-C24</f>
        <v>160</v>
      </c>
      <c r="F24" s="10" t="s">
        <v>193</v>
      </c>
      <c r="G24" s="10"/>
    </row>
    <row r="25" customFormat="false" ht="15" hidden="false" customHeight="true" outlineLevel="0" collapsed="false">
      <c r="B25" s="26" t="s">
        <v>194</v>
      </c>
      <c r="C25" s="39" t="n">
        <f aca="false">Inputs!$C$6*C21*0.0001</f>
        <v>100000</v>
      </c>
      <c r="D25" s="39" t="n">
        <f aca="false">Inputs!$C$6*D21*0.0001</f>
        <v>100000</v>
      </c>
      <c r="E25" s="31" t="n">
        <f aca="false">D25-C25</f>
        <v>0</v>
      </c>
      <c r="F25" s="10" t="s">
        <v>195</v>
      </c>
      <c r="G25" s="10"/>
    </row>
    <row r="26" customFormat="false" ht="15" hidden="false" customHeight="true" outlineLevel="0" collapsed="false">
      <c r="B26" s="26" t="s">
        <v>196</v>
      </c>
      <c r="E26" s="25" t="n">
        <f aca="false">E20*10000</f>
        <v>-21.4285714285714</v>
      </c>
      <c r="F26" s="10" t="s">
        <v>197</v>
      </c>
      <c r="G26" s="10"/>
    </row>
    <row r="27" customFormat="false" ht="15" hidden="false" customHeight="true" outlineLevel="0" collapsed="false">
      <c r="B27" s="26" t="s">
        <v>198</v>
      </c>
      <c r="E27" s="44" t="n">
        <f aca="false">IF(C22=0,0,E22/C22)</f>
        <v>1.6</v>
      </c>
      <c r="F27" s="10" t="s">
        <v>199</v>
      </c>
      <c r="G27" s="10"/>
    </row>
    <row r="28" customFormat="false" ht="30" hidden="false" customHeight="true" outlineLevel="0" collapsed="false">
      <c r="B28" s="26" t="s">
        <v>200</v>
      </c>
      <c r="E28" s="25" t="n">
        <f aca="false">IF(E22&lt;=0,0,SQRT(2*ABS(E20)/E22)*10000)</f>
        <v>51.7549169506766</v>
      </c>
      <c r="F28" s="10" t="s">
        <v>201</v>
      </c>
      <c r="G28" s="10"/>
    </row>
    <row r="30" customFormat="false" ht="19.5" hidden="false" customHeight="true" outlineLevel="0" collapsed="false">
      <c r="B30" s="6" t="s">
        <v>202</v>
      </c>
      <c r="C30" s="6"/>
      <c r="D30" s="6"/>
      <c r="E30" s="6"/>
      <c r="F30" s="6"/>
      <c r="G30" s="6"/>
    </row>
    <row r="31" customFormat="false" ht="15" hidden="false" customHeight="false" outlineLevel="0" collapsed="false">
      <c r="B31" s="15" t="s">
        <v>203</v>
      </c>
      <c r="C31" s="21" t="n">
        <v>10000000</v>
      </c>
      <c r="D31" s="12" t="s">
        <v>204</v>
      </c>
      <c r="E31" s="23" t="n">
        <v>0.5</v>
      </c>
    </row>
    <row r="32" customFormat="false" ht="21.75" hidden="false" customHeight="true" outlineLevel="0" collapsed="false">
      <c r="B32" s="7" t="s">
        <v>205</v>
      </c>
      <c r="C32" s="7" t="s">
        <v>206</v>
      </c>
      <c r="D32" s="7" t="s">
        <v>207</v>
      </c>
      <c r="E32" s="7" t="s">
        <v>208</v>
      </c>
      <c r="F32" s="7" t="s">
        <v>209</v>
      </c>
    </row>
    <row r="33" customFormat="false" ht="15" hidden="false" customHeight="false" outlineLevel="0" collapsed="false">
      <c r="B33" s="15" t="s">
        <v>210</v>
      </c>
      <c r="C33" s="31" t="n">
        <f aca="false">C31*E31</f>
        <v>5000000</v>
      </c>
      <c r="D33" s="31" t="n">
        <f aca="false">C31*(1-E31)</f>
        <v>5000000</v>
      </c>
      <c r="E33" s="31" t="n">
        <f aca="false">C33+D33</f>
        <v>10000000</v>
      </c>
      <c r="F33" s="31" t="n">
        <f aca="false">C31</f>
        <v>10000000</v>
      </c>
    </row>
    <row r="34" customFormat="false" ht="15" hidden="false" customHeight="false" outlineLevel="0" collapsed="false">
      <c r="B34" s="15" t="s">
        <v>186</v>
      </c>
      <c r="C34" s="35" t="n">
        <f aca="false">Bond_Analytics!F6</f>
        <v>2</v>
      </c>
      <c r="D34" s="35" t="n">
        <f aca="false">Bond_Analytics!F8</f>
        <v>30</v>
      </c>
      <c r="E34" s="30" t="n">
        <f aca="false">E31*C34+(1-E31)*D34</f>
        <v>16</v>
      </c>
      <c r="F34" s="35" t="n">
        <f aca="false">Bond_Analytics!F7</f>
        <v>10</v>
      </c>
    </row>
    <row r="35" customFormat="false" ht="15" hidden="false" customHeight="false" outlineLevel="0" collapsed="false">
      <c r="B35" s="15" t="s">
        <v>188</v>
      </c>
      <c r="C35" s="35" t="n">
        <f aca="false">Bond_Analytics!H6</f>
        <v>4</v>
      </c>
      <c r="D35" s="35" t="n">
        <f aca="false">Bond_Analytics!H8</f>
        <v>900</v>
      </c>
      <c r="E35" s="30" t="n">
        <f aca="false">E31*C35+(1-E31)*D35</f>
        <v>452</v>
      </c>
      <c r="F35" s="35" t="n">
        <f aca="false">Bond_Analytics!H7</f>
        <v>100</v>
      </c>
    </row>
    <row r="36" customFormat="false" ht="15" hidden="false" customHeight="false" outlineLevel="0" collapsed="false">
      <c r="B36" s="15" t="s">
        <v>211</v>
      </c>
      <c r="C36" s="42" t="n">
        <f aca="false">Bond_Analytics!D6</f>
        <v>0.04</v>
      </c>
      <c r="D36" s="42" t="n">
        <f aca="false">Bond_Analytics!D8</f>
        <v>0.05</v>
      </c>
      <c r="E36" s="43" t="n">
        <f aca="false">E31*C36+(1-E31)*D36</f>
        <v>0.045</v>
      </c>
      <c r="F36" s="42" t="n">
        <f aca="false">Bond_Analytics!D7</f>
        <v>0.045</v>
      </c>
    </row>
    <row r="37" customFormat="false" ht="31.5" hidden="false" customHeight="true" outlineLevel="0" collapsed="false">
      <c r="B37" s="15" t="s">
        <v>212</v>
      </c>
      <c r="C37" s="45" t="str">
        <f aca="false">IF(ABS(E34-F34)&lt;0.0001,"Duration-matched to the bullet.","Duration "&amp;TEXT(E34,"0.0")&amp;" vs "&amp;TEXT(F34,"0.0")&amp;" yrs: NOT a like-for-like comparison. A 50/50 barbell takes "&amp;TEXT(E34/F34,"0.0")&amp;"× the bullet's rate risk. Use w_S = "&amp;TEXT(C7,"0.00%")&amp;" to match.")</f>
        <v>Duration 16.0 vs 10.0 yrs: NOT a like-for-like comparison. A 50/50 barbell takes 1.6× the bullet's rate risk. Use w_S = 71.43% to match.</v>
      </c>
      <c r="D37" s="45"/>
      <c r="E37" s="45"/>
      <c r="F37" s="45"/>
      <c r="G37" s="45"/>
    </row>
    <row r="57" customFormat="false" ht="19.5" hidden="false" customHeight="true" outlineLevel="0" collapsed="false">
      <c r="B57" s="17" t="s">
        <v>39</v>
      </c>
      <c r="C57" s="17"/>
      <c r="D57" s="17"/>
      <c r="E57" s="17"/>
      <c r="F57" s="17"/>
      <c r="G57" s="17"/>
    </row>
  </sheetData>
  <mergeCells count="20">
    <mergeCell ref="B1:H1"/>
    <mergeCell ref="B2:H2"/>
    <mergeCell ref="B4:G4"/>
    <mergeCell ref="B5:G5"/>
    <mergeCell ref="B11:G11"/>
    <mergeCell ref="B17:G17"/>
    <mergeCell ref="B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B30:G30"/>
    <mergeCell ref="C37:G37"/>
    <mergeCell ref="B57:G57"/>
  </mergeCells>
  <hyperlinks>
    <hyperlink ref="B57" r:id="rId1" display="Prof. V. Ravichandran  |  The Mountain Path Academy  | 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&amp;Chttps://themountainpathacademy.com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D700"/>
    <pageSetUpPr fitToPage="true"/>
  </sheetPr>
  <dimension ref="B1:T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6" min="4" style="0" width="10"/>
    <col collapsed="false" customWidth="true" hidden="false" outlineLevel="0" max="9" min="7" style="0" width="11"/>
    <col collapsed="false" customWidth="true" hidden="false" outlineLevel="0" max="14" min="10" style="0" width="12"/>
    <col collapsed="false" customWidth="true" hidden="false" outlineLevel="0" max="16" min="15" style="0" width="15"/>
    <col collapsed="false" customWidth="true" hidden="false" outlineLevel="0" max="19" min="17" style="0" width="12"/>
    <col collapsed="false" customWidth="true" hidden="false" outlineLevel="0" max="20" min="20" style="0" width="44"/>
    <col collapsed="false" customWidth="true" hidden="false" outlineLevel="0" max="21" min="21" style="0" width="2"/>
  </cols>
  <sheetData>
    <row r="1" customFormat="false" ht="36" hidden="false" customHeight="true" outlineLevel="0" collapsed="false">
      <c r="B1" s="1" t="s">
        <v>213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Format="false" ht="19.5" hidden="false" customHeight="true" outlineLevel="0" collapsed="false">
      <c r="B2" s="2" t="s">
        <v>214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4" customFormat="false" ht="19.5" hidden="false" customHeight="true" outlineLevel="0" collapsed="false">
      <c r="B4" s="6" t="s">
        <v>215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customFormat="false" ht="15" hidden="false" customHeight="true" outlineLevel="0" collapsed="false">
      <c r="D5" s="46" t="s">
        <v>216</v>
      </c>
      <c r="E5" s="46"/>
      <c r="F5" s="46"/>
      <c r="G5" s="46" t="s">
        <v>217</v>
      </c>
      <c r="H5" s="46"/>
      <c r="I5" s="46"/>
      <c r="J5" s="46" t="s">
        <v>218</v>
      </c>
      <c r="K5" s="46"/>
      <c r="L5" s="46" t="s">
        <v>219</v>
      </c>
      <c r="M5" s="46"/>
      <c r="N5" s="46"/>
      <c r="O5" s="46" t="s">
        <v>220</v>
      </c>
      <c r="P5" s="46"/>
      <c r="R5" s="46" t="s">
        <v>221</v>
      </c>
      <c r="S5" s="46"/>
    </row>
    <row r="6" customFormat="false" ht="31.5" hidden="false" customHeight="true" outlineLevel="0" collapsed="false">
      <c r="B6" s="7" t="s">
        <v>222</v>
      </c>
      <c r="C6" s="7" t="s">
        <v>223</v>
      </c>
      <c r="D6" s="7" t="s">
        <v>224</v>
      </c>
      <c r="E6" s="7" t="s">
        <v>225</v>
      </c>
      <c r="F6" s="7" t="s">
        <v>226</v>
      </c>
      <c r="G6" s="7" t="s">
        <v>227</v>
      </c>
      <c r="H6" s="7" t="s">
        <v>228</v>
      </c>
      <c r="I6" s="7" t="s">
        <v>229</v>
      </c>
      <c r="J6" s="7" t="s">
        <v>181</v>
      </c>
      <c r="K6" s="7" t="s">
        <v>182</v>
      </c>
      <c r="L6" s="7" t="s">
        <v>181</v>
      </c>
      <c r="M6" s="7" t="s">
        <v>182</v>
      </c>
      <c r="N6" s="7" t="s">
        <v>183</v>
      </c>
      <c r="O6" s="7" t="s">
        <v>175</v>
      </c>
      <c r="P6" s="7" t="s">
        <v>176</v>
      </c>
      <c r="Q6" s="7" t="s">
        <v>230</v>
      </c>
      <c r="R6" s="7" t="s">
        <v>181</v>
      </c>
      <c r="S6" s="7" t="s">
        <v>182</v>
      </c>
      <c r="T6" s="7" t="s">
        <v>231</v>
      </c>
    </row>
    <row r="7" customFormat="false" ht="30" hidden="false" customHeight="true" outlineLevel="0" collapsed="false">
      <c r="B7" s="26" t="s">
        <v>232</v>
      </c>
      <c r="C7" s="12" t="s">
        <v>233</v>
      </c>
      <c r="D7" s="47" t="n">
        <v>0</v>
      </c>
      <c r="E7" s="47" t="n">
        <v>0</v>
      </c>
      <c r="F7" s="47" t="n">
        <v>0</v>
      </c>
      <c r="G7" s="28" t="n">
        <f aca="false">-Bond_Analytics!$F$6*(D7/10000)+0.5*Bond_Analytics!$H$6*(D7/10000)^2</f>
        <v>0</v>
      </c>
      <c r="H7" s="28" t="n">
        <f aca="false">-Bond_Analytics!$F$7*(E7/10000)+0.5*Bond_Analytics!$H$7*(E7/10000)^2</f>
        <v>0</v>
      </c>
      <c r="I7" s="28" t="n">
        <f aca="false">-Bond_Analytics!$F$8*(F7/10000)+0.5*Bond_Analytics!$H$8*(F7/10000)^2</f>
        <v>0</v>
      </c>
      <c r="J7" s="28" t="n">
        <f aca="false">Barbell_vs_Bullet!$D$13*G7+Barbell_vs_Bullet!$D$14*H7+Barbell_vs_Bullet!$D$15*I7</f>
        <v>0</v>
      </c>
      <c r="K7" s="28" t="n">
        <f aca="false">Barbell_vs_Bullet!$E$13*G7+Barbell_vs_Bullet!$E$14*H7+Barbell_vs_Bullet!$E$15*I7</f>
        <v>0</v>
      </c>
      <c r="L7" s="28" t="n">
        <f aca="false">Barbell_vs_Bullet!$C$20+J7</f>
        <v>0.045</v>
      </c>
      <c r="M7" s="28" t="n">
        <f aca="false">Barbell_vs_Bullet!$D$20+K7</f>
        <v>0.0428571428571429</v>
      </c>
      <c r="N7" s="40" t="n">
        <f aca="false">M7-L7</f>
        <v>-0.00214285714285714</v>
      </c>
      <c r="O7" s="39" t="n">
        <f aca="false">Inputs!$C$6*L7</f>
        <v>4500000</v>
      </c>
      <c r="P7" s="39" t="n">
        <f aca="false">Inputs!$C$6*M7</f>
        <v>4285714.28571429</v>
      </c>
      <c r="Q7" s="48" t="str">
        <f aca="false">IF(ABS(N7)&lt;0.0000001,"Tie",IF(N7&gt;0,"Barbell","Bullet"))</f>
        <v>Bullet</v>
      </c>
      <c r="R7" s="28" t="n">
        <f aca="false">Barbell_vs_Bullet!$D$13*(EXP(-Bond_Analytics!$C$6*D7/10000)-1)+Barbell_vs_Bullet!$D$14*(EXP(-Bond_Analytics!$C$7*E7/10000)-1)+Barbell_vs_Bullet!$D$15*(EXP(-Bond_Analytics!$C$8*F7/10000)-1)</f>
        <v>0</v>
      </c>
      <c r="S7" s="28" t="n">
        <f aca="false">Barbell_vs_Bullet!$E$13*(EXP(-Bond_Analytics!$C$6*D7/10000)-1)+Barbell_vs_Bullet!$E$14*(EXP(-Bond_Analytics!$C$7*E7/10000)-1)+Barbell_vs_Bullet!$E$15*(EXP(-Bond_Analytics!$C$8*F7/10000)-1)</f>
        <v>0</v>
      </c>
      <c r="T7" s="10" t="s">
        <v>234</v>
      </c>
    </row>
    <row r="8" customFormat="false" ht="30" hidden="false" customHeight="true" outlineLevel="0" collapsed="false">
      <c r="B8" s="26" t="s">
        <v>235</v>
      </c>
      <c r="C8" s="12" t="s">
        <v>236</v>
      </c>
      <c r="D8" s="47" t="n">
        <v>200</v>
      </c>
      <c r="E8" s="47" t="n">
        <v>200</v>
      </c>
      <c r="F8" s="47" t="n">
        <v>200</v>
      </c>
      <c r="G8" s="28" t="n">
        <f aca="false">-Bond_Analytics!$F$6*(D8/10000)+0.5*Bond_Analytics!$H$6*(D8/10000)^2</f>
        <v>-0.0392</v>
      </c>
      <c r="H8" s="28" t="n">
        <f aca="false">-Bond_Analytics!$F$7*(E8/10000)+0.5*Bond_Analytics!$H$7*(E8/10000)^2</f>
        <v>-0.18</v>
      </c>
      <c r="I8" s="28" t="n">
        <f aca="false">-Bond_Analytics!$F$8*(F8/10000)+0.5*Bond_Analytics!$H$8*(F8/10000)^2</f>
        <v>-0.42</v>
      </c>
      <c r="J8" s="28" t="n">
        <f aca="false">Barbell_vs_Bullet!$D$13*G8+Barbell_vs_Bullet!$D$14*H8+Barbell_vs_Bullet!$D$15*I8</f>
        <v>-0.18</v>
      </c>
      <c r="K8" s="28" t="n">
        <f aca="false">Barbell_vs_Bullet!$E$13*G8+Barbell_vs_Bullet!$E$14*H8+Barbell_vs_Bullet!$E$15*I8</f>
        <v>-0.148</v>
      </c>
      <c r="L8" s="28" t="n">
        <f aca="false">Barbell_vs_Bullet!$C$20+J8</f>
        <v>-0.135</v>
      </c>
      <c r="M8" s="28" t="n">
        <f aca="false">Barbell_vs_Bullet!$D$20+K8</f>
        <v>-0.105142857142857</v>
      </c>
      <c r="N8" s="40" t="n">
        <f aca="false">M8-L8</f>
        <v>0.0298571428571429</v>
      </c>
      <c r="O8" s="39" t="n">
        <f aca="false">Inputs!$C$6*L8</f>
        <v>-13500000</v>
      </c>
      <c r="P8" s="39" t="n">
        <f aca="false">Inputs!$C$6*M8</f>
        <v>-10514285.7142857</v>
      </c>
      <c r="Q8" s="48" t="str">
        <f aca="false">IF(ABS(N8)&lt;0.0000001,"Tie",IF(N8&gt;0,"Barbell","Bullet"))</f>
        <v>Barbell</v>
      </c>
      <c r="R8" s="28" t="n">
        <f aca="false">Barbell_vs_Bullet!$D$13*(EXP(-Bond_Analytics!$C$6*D8/10000)-1)+Barbell_vs_Bullet!$D$14*(EXP(-Bond_Analytics!$C$7*E8/10000)-1)+Barbell_vs_Bullet!$D$15*(EXP(-Bond_Analytics!$C$8*F8/10000)-1)</f>
        <v>-0.181269246922018</v>
      </c>
      <c r="S8" s="28" t="n">
        <f aca="false">Barbell_vs_Bullet!$E$13*(EXP(-Bond_Analytics!$C$6*D8/10000)-1)+Barbell_vs_Bullet!$E$14*(EXP(-Bond_Analytics!$C$7*E8/10000)-1)+Barbell_vs_Bullet!$E$15*(EXP(-Bond_Analytics!$C$8*F8/10000)-1)</f>
        <v>-0.156918504578619</v>
      </c>
      <c r="T8" s="10" t="s">
        <v>237</v>
      </c>
    </row>
    <row r="9" customFormat="false" ht="30" hidden="false" customHeight="true" outlineLevel="0" collapsed="false">
      <c r="B9" s="26" t="s">
        <v>238</v>
      </c>
      <c r="C9" s="12" t="s">
        <v>239</v>
      </c>
      <c r="D9" s="47" t="n">
        <v>25</v>
      </c>
      <c r="E9" s="47" t="n">
        <v>100</v>
      </c>
      <c r="F9" s="47" t="n">
        <v>25</v>
      </c>
      <c r="G9" s="28" t="n">
        <f aca="false">-Bond_Analytics!$F$6*(D9/10000)+0.5*Bond_Analytics!$H$6*(D9/10000)^2</f>
        <v>-0.0049875</v>
      </c>
      <c r="H9" s="28" t="n">
        <f aca="false">-Bond_Analytics!$F$7*(E9/10000)+0.5*Bond_Analytics!$H$7*(E9/10000)^2</f>
        <v>-0.095</v>
      </c>
      <c r="I9" s="28" t="n">
        <f aca="false">-Bond_Analytics!$F$8*(F9/10000)+0.5*Bond_Analytics!$H$8*(F9/10000)^2</f>
        <v>-0.0721875</v>
      </c>
      <c r="J9" s="28" t="n">
        <f aca="false">Barbell_vs_Bullet!$D$13*G9+Barbell_vs_Bullet!$D$14*H9+Barbell_vs_Bullet!$D$15*I9</f>
        <v>-0.095</v>
      </c>
      <c r="K9" s="28" t="n">
        <f aca="false">Barbell_vs_Bullet!$E$13*G9+Barbell_vs_Bullet!$E$14*H9+Barbell_vs_Bullet!$E$15*I9</f>
        <v>-0.0241875</v>
      </c>
      <c r="L9" s="28" t="n">
        <f aca="false">Barbell_vs_Bullet!$C$20+J9</f>
        <v>-0.05</v>
      </c>
      <c r="M9" s="28" t="n">
        <f aca="false">Barbell_vs_Bullet!$D$20+K9</f>
        <v>0.0186696428571429</v>
      </c>
      <c r="N9" s="40" t="n">
        <f aca="false">M9-L9</f>
        <v>0.0686696428571429</v>
      </c>
      <c r="O9" s="39" t="n">
        <f aca="false">Inputs!$C$6*L9</f>
        <v>-5000000</v>
      </c>
      <c r="P9" s="39" t="n">
        <f aca="false">Inputs!$C$6*M9</f>
        <v>1866964.28571429</v>
      </c>
      <c r="Q9" s="48" t="str">
        <f aca="false">IF(ABS(N9)&lt;0.0000001,"Tie",IF(N9&gt;0,"Barbell","Bullet"))</f>
        <v>Barbell</v>
      </c>
      <c r="R9" s="28" t="n">
        <f aca="false">Barbell_vs_Bullet!$D$13*(EXP(-Bond_Analytics!$C$6*D9/10000)-1)+Barbell_vs_Bullet!$D$14*(EXP(-Bond_Analytics!$C$7*E9/10000)-1)+Barbell_vs_Bullet!$D$15*(EXP(-Bond_Analytics!$C$8*F9/10000)-1)</f>
        <v>-0.0951625819640405</v>
      </c>
      <c r="S9" s="28" t="n">
        <f aca="false">Barbell_vs_Bullet!$E$13*(EXP(-Bond_Analytics!$C$6*D9/10000)-1)+Barbell_vs_Bullet!$E$14*(EXP(-Bond_Analytics!$C$7*E9/10000)-1)+Barbell_vs_Bullet!$E$15*(EXP(-Bond_Analytics!$C$8*F9/10000)-1)</f>
        <v>-0.0242072330542118</v>
      </c>
      <c r="T9" s="10" t="s">
        <v>240</v>
      </c>
    </row>
    <row r="10" customFormat="false" ht="30" hidden="false" customHeight="true" outlineLevel="0" collapsed="false">
      <c r="B10" s="26" t="s">
        <v>241</v>
      </c>
      <c r="C10" s="12" t="s">
        <v>242</v>
      </c>
      <c r="D10" s="47" t="n">
        <v>150</v>
      </c>
      <c r="E10" s="47" t="n">
        <v>50</v>
      </c>
      <c r="F10" s="47" t="n">
        <v>0</v>
      </c>
      <c r="G10" s="28" t="n">
        <f aca="false">-Bond_Analytics!$F$6*(D10/10000)+0.5*Bond_Analytics!$H$6*(D10/10000)^2</f>
        <v>-0.02955</v>
      </c>
      <c r="H10" s="28" t="n">
        <f aca="false">-Bond_Analytics!$F$7*(E10/10000)+0.5*Bond_Analytics!$H$7*(E10/10000)^2</f>
        <v>-0.04875</v>
      </c>
      <c r="I10" s="28" t="n">
        <f aca="false">-Bond_Analytics!$F$8*(F10/10000)+0.5*Bond_Analytics!$H$8*(F10/10000)^2</f>
        <v>0</v>
      </c>
      <c r="J10" s="28" t="n">
        <f aca="false">Barbell_vs_Bullet!$D$13*G10+Barbell_vs_Bullet!$D$14*H10+Barbell_vs_Bullet!$D$15*I10</f>
        <v>-0.04875</v>
      </c>
      <c r="K10" s="28" t="n">
        <f aca="false">Barbell_vs_Bullet!$E$13*G10+Barbell_vs_Bullet!$E$14*H10+Barbell_vs_Bullet!$E$15*I10</f>
        <v>-0.0211071428571429</v>
      </c>
      <c r="L10" s="28" t="n">
        <f aca="false">Barbell_vs_Bullet!$C$20+J10</f>
        <v>-0.00375</v>
      </c>
      <c r="M10" s="28" t="n">
        <f aca="false">Barbell_vs_Bullet!$D$20+K10</f>
        <v>0.02175</v>
      </c>
      <c r="N10" s="40" t="n">
        <f aca="false">M10-L10</f>
        <v>0.0255</v>
      </c>
      <c r="O10" s="39" t="n">
        <f aca="false">Inputs!$C$6*L10</f>
        <v>-375000</v>
      </c>
      <c r="P10" s="39" t="n">
        <f aca="false">Inputs!$C$6*M10</f>
        <v>2175000</v>
      </c>
      <c r="Q10" s="48" t="str">
        <f aca="false">IF(ABS(N10)&lt;0.0000001,"Tie",IF(N10&gt;0,"Barbell","Bullet"))</f>
        <v>Barbell</v>
      </c>
      <c r="R10" s="28" t="n">
        <f aca="false">Barbell_vs_Bullet!$D$13*(EXP(-Bond_Analytics!$C$6*D10/10000)-1)+Barbell_vs_Bullet!$D$14*(EXP(-Bond_Analytics!$C$7*E10/10000)-1)+Barbell_vs_Bullet!$D$15*(EXP(-Bond_Analytics!$C$8*F10/10000)-1)</f>
        <v>-0.048770575499286</v>
      </c>
      <c r="S10" s="28" t="n">
        <f aca="false">Barbell_vs_Bullet!$E$13*(EXP(-Bond_Analytics!$C$6*D10/10000)-1)+Barbell_vs_Bullet!$E$14*(EXP(-Bond_Analytics!$C$7*E10/10000)-1)+Barbell_vs_Bullet!$E$15*(EXP(-Bond_Analytics!$C$8*F10/10000)-1)</f>
        <v>-0.021110333179637</v>
      </c>
      <c r="T10" s="10" t="s">
        <v>243</v>
      </c>
    </row>
    <row r="11" customFormat="false" ht="30" hidden="false" customHeight="true" outlineLevel="0" collapsed="false">
      <c r="B11" s="26" t="s">
        <v>244</v>
      </c>
      <c r="C11" s="12" t="s">
        <v>245</v>
      </c>
      <c r="D11" s="47" t="n">
        <v>-200</v>
      </c>
      <c r="E11" s="47" t="n">
        <v>-200</v>
      </c>
      <c r="F11" s="47" t="n">
        <v>-200</v>
      </c>
      <c r="G11" s="28" t="n">
        <f aca="false">-Bond_Analytics!$F$6*(D11/10000)+0.5*Bond_Analytics!$H$6*(D11/10000)^2</f>
        <v>0.0408</v>
      </c>
      <c r="H11" s="28" t="n">
        <f aca="false">-Bond_Analytics!$F$7*(E11/10000)+0.5*Bond_Analytics!$H$7*(E11/10000)^2</f>
        <v>0.22</v>
      </c>
      <c r="I11" s="28" t="n">
        <f aca="false">-Bond_Analytics!$F$8*(F11/10000)+0.5*Bond_Analytics!$H$8*(F11/10000)^2</f>
        <v>0.78</v>
      </c>
      <c r="J11" s="28" t="n">
        <f aca="false">Barbell_vs_Bullet!$D$13*G11+Barbell_vs_Bullet!$D$14*H11+Barbell_vs_Bullet!$D$15*I11</f>
        <v>0.22</v>
      </c>
      <c r="K11" s="28" t="n">
        <f aca="false">Barbell_vs_Bullet!$E$13*G11+Barbell_vs_Bullet!$E$14*H11+Barbell_vs_Bullet!$E$15*I11</f>
        <v>0.252</v>
      </c>
      <c r="L11" s="28" t="n">
        <f aca="false">Barbell_vs_Bullet!$C$20+J11</f>
        <v>0.265</v>
      </c>
      <c r="M11" s="28" t="n">
        <f aca="false">Barbell_vs_Bullet!$D$20+K11</f>
        <v>0.294857142857143</v>
      </c>
      <c r="N11" s="40" t="n">
        <f aca="false">M11-L11</f>
        <v>0.0298571428571429</v>
      </c>
      <c r="O11" s="39" t="n">
        <f aca="false">Inputs!$C$6*L11</f>
        <v>26500000</v>
      </c>
      <c r="P11" s="39" t="n">
        <f aca="false">Inputs!$C$6*M11</f>
        <v>29485714.2857143</v>
      </c>
      <c r="Q11" s="48" t="str">
        <f aca="false">IF(ABS(N11)&lt;0.0000001,"Tie",IF(N11&gt;0,"Barbell","Bullet"))</f>
        <v>Barbell</v>
      </c>
      <c r="R11" s="28" t="n">
        <f aca="false">Barbell_vs_Bullet!$D$13*(EXP(-Bond_Analytics!$C$6*D11/10000)-1)+Barbell_vs_Bullet!$D$14*(EXP(-Bond_Analytics!$C$7*E11/10000)-1)+Barbell_vs_Bullet!$D$15*(EXP(-Bond_Analytics!$C$8*F11/10000)-1)</f>
        <v>0.22140275816017</v>
      </c>
      <c r="S11" s="28" t="n">
        <f aca="false">Barbell_vs_Bullet!$E$13*(EXP(-Bond_Analytics!$C$6*D11/10000)-1)+Barbell_vs_Bullet!$E$14*(EXP(-Bond_Analytics!$C$7*E11/10000)-1)+Barbell_vs_Bullet!$E$15*(EXP(-Bond_Analytics!$C$8*F11/10000)-1)</f>
        <v>0.264041638820423</v>
      </c>
      <c r="T11" s="10" t="s">
        <v>246</v>
      </c>
    </row>
    <row r="12" customFormat="false" ht="30" hidden="false" customHeight="true" outlineLevel="0" collapsed="false">
      <c r="B12" s="26" t="s">
        <v>247</v>
      </c>
      <c r="C12" s="12" t="s">
        <v>248</v>
      </c>
      <c r="D12" s="47" t="n">
        <v>50</v>
      </c>
      <c r="E12" s="47" t="n">
        <v>50</v>
      </c>
      <c r="F12" s="47" t="n">
        <v>50</v>
      </c>
      <c r="G12" s="28" t="n">
        <f aca="false">-Bond_Analytics!$F$6*(D12/10000)+0.5*Bond_Analytics!$H$6*(D12/10000)^2</f>
        <v>-0.00995</v>
      </c>
      <c r="H12" s="28" t="n">
        <f aca="false">-Bond_Analytics!$F$7*(E12/10000)+0.5*Bond_Analytics!$H$7*(E12/10000)^2</f>
        <v>-0.04875</v>
      </c>
      <c r="I12" s="28" t="n">
        <f aca="false">-Bond_Analytics!$F$8*(F12/10000)+0.5*Bond_Analytics!$H$8*(F12/10000)^2</f>
        <v>-0.13875</v>
      </c>
      <c r="J12" s="28" t="n">
        <f aca="false">Barbell_vs_Bullet!$D$13*G12+Barbell_vs_Bullet!$D$14*H12+Barbell_vs_Bullet!$D$15*I12</f>
        <v>-0.04875</v>
      </c>
      <c r="K12" s="28" t="n">
        <f aca="false">Barbell_vs_Bullet!$E$13*G12+Barbell_vs_Bullet!$E$14*H12+Barbell_vs_Bullet!$E$15*I12</f>
        <v>-0.04675</v>
      </c>
      <c r="L12" s="28" t="n">
        <f aca="false">Barbell_vs_Bullet!$C$20+J12</f>
        <v>-0.00375</v>
      </c>
      <c r="M12" s="28" t="n">
        <f aca="false">Barbell_vs_Bullet!$D$20+K12</f>
        <v>-0.00389285714285714</v>
      </c>
      <c r="N12" s="40" t="n">
        <f aca="false">M12-L12</f>
        <v>-0.000142857142857139</v>
      </c>
      <c r="O12" s="39" t="n">
        <f aca="false">Inputs!$C$6*L12</f>
        <v>-375000</v>
      </c>
      <c r="P12" s="39" t="n">
        <f aca="false">Inputs!$C$6*M12</f>
        <v>-389285.714285714</v>
      </c>
      <c r="Q12" s="48" t="str">
        <f aca="false">IF(ABS(N12)&lt;0.0000001,"Tie",IF(N12&gt;0,"Barbell","Bullet"))</f>
        <v>Bullet</v>
      </c>
      <c r="R12" s="28" t="n">
        <f aca="false">Barbell_vs_Bullet!$D$13*(EXP(-Bond_Analytics!$C$6*D12/10000)-1)+Barbell_vs_Bullet!$D$14*(EXP(-Bond_Analytics!$C$7*E12/10000)-1)+Barbell_vs_Bullet!$D$15*(EXP(-Bond_Analytics!$C$8*F12/10000)-1)</f>
        <v>-0.048770575499286</v>
      </c>
      <c r="S12" s="28" t="n">
        <f aca="false">Barbell_vs_Bullet!$E$13*(EXP(-Bond_Analytics!$C$6*D12/10000)-1)+Barbell_vs_Bullet!$E$14*(EXP(-Bond_Analytics!$C$7*E12/10000)-1)+Barbell_vs_Bullet!$E$15*(EXP(-Bond_Analytics!$C$8*F12/10000)-1)</f>
        <v>-0.0469049826291491</v>
      </c>
      <c r="T12" s="10" t="s">
        <v>249</v>
      </c>
    </row>
    <row r="13" customFormat="false" ht="30" hidden="false" customHeight="true" outlineLevel="0" collapsed="false">
      <c r="B13" s="26" t="s">
        <v>250</v>
      </c>
      <c r="C13" s="12" t="s">
        <v>251</v>
      </c>
      <c r="D13" s="47" t="n">
        <v>-25</v>
      </c>
      <c r="E13" s="47" t="n">
        <v>-100</v>
      </c>
      <c r="F13" s="47" t="n">
        <v>-25</v>
      </c>
      <c r="G13" s="28" t="n">
        <f aca="false">-Bond_Analytics!$F$6*(D13/10000)+0.5*Bond_Analytics!$H$6*(D13/10000)^2</f>
        <v>0.0050125</v>
      </c>
      <c r="H13" s="28" t="n">
        <f aca="false">-Bond_Analytics!$F$7*(E13/10000)+0.5*Bond_Analytics!$H$7*(E13/10000)^2</f>
        <v>0.105</v>
      </c>
      <c r="I13" s="28" t="n">
        <f aca="false">-Bond_Analytics!$F$8*(F13/10000)+0.5*Bond_Analytics!$H$8*(F13/10000)^2</f>
        <v>0.0778125</v>
      </c>
      <c r="J13" s="28" t="n">
        <f aca="false">Barbell_vs_Bullet!$D$13*G13+Barbell_vs_Bullet!$D$14*H13+Barbell_vs_Bullet!$D$15*I13</f>
        <v>0.105</v>
      </c>
      <c r="K13" s="28" t="n">
        <f aca="false">Barbell_vs_Bullet!$E$13*G13+Barbell_vs_Bullet!$E$14*H13+Barbell_vs_Bullet!$E$15*I13</f>
        <v>0.0258125</v>
      </c>
      <c r="L13" s="28" t="n">
        <f aca="false">Barbell_vs_Bullet!$C$20+J13</f>
        <v>0.15</v>
      </c>
      <c r="M13" s="28" t="n">
        <f aca="false">Barbell_vs_Bullet!$D$20+K13</f>
        <v>0.0686696428571429</v>
      </c>
      <c r="N13" s="40" t="n">
        <f aca="false">M13-L13</f>
        <v>-0.0813303571428572</v>
      </c>
      <c r="O13" s="39" t="n">
        <f aca="false">Inputs!$C$6*L13</f>
        <v>15000000</v>
      </c>
      <c r="P13" s="39" t="n">
        <f aca="false">Inputs!$C$6*M13</f>
        <v>6866964.28571429</v>
      </c>
      <c r="Q13" s="48" t="str">
        <f aca="false">IF(ABS(N13)&lt;0.0000001,"Tie",IF(N13&gt;0,"Barbell","Bullet"))</f>
        <v>Bullet</v>
      </c>
      <c r="R13" s="28" t="n">
        <f aca="false">Barbell_vs_Bullet!$D$13*(EXP(-Bond_Analytics!$C$6*D13/10000)-1)+Barbell_vs_Bullet!$D$14*(EXP(-Bond_Analytics!$C$7*E13/10000)-1)+Barbell_vs_Bullet!$D$15*(EXP(-Bond_Analytics!$C$8*F13/10000)-1)</f>
        <v>0.105170918075648</v>
      </c>
      <c r="S13" s="28" t="n">
        <f aca="false">Barbell_vs_Bullet!$E$13*(EXP(-Bond_Analytics!$C$6*D13/10000)-1)+Barbell_vs_Bullet!$E$14*(EXP(-Bond_Analytics!$C$7*E13/10000)-1)+Barbell_vs_Bullet!$E$15*(EXP(-Bond_Analytics!$C$8*F13/10000)-1)</f>
        <v>0.0258329865808954</v>
      </c>
      <c r="T13" s="10" t="s">
        <v>252</v>
      </c>
    </row>
    <row r="14" customFormat="false" ht="30" hidden="false" customHeight="true" outlineLevel="0" collapsed="false">
      <c r="B14" s="26" t="s">
        <v>253</v>
      </c>
      <c r="C14" s="12" t="s">
        <v>254</v>
      </c>
      <c r="D14" s="47" t="n">
        <v>0</v>
      </c>
      <c r="E14" s="47" t="n">
        <v>50</v>
      </c>
      <c r="F14" s="47" t="n">
        <v>150</v>
      </c>
      <c r="G14" s="28" t="n">
        <f aca="false">-Bond_Analytics!$F$6*(D14/10000)+0.5*Bond_Analytics!$H$6*(D14/10000)^2</f>
        <v>0</v>
      </c>
      <c r="H14" s="28" t="n">
        <f aca="false">-Bond_Analytics!$F$7*(E14/10000)+0.5*Bond_Analytics!$H$7*(E14/10000)^2</f>
        <v>-0.04875</v>
      </c>
      <c r="I14" s="28" t="n">
        <f aca="false">-Bond_Analytics!$F$8*(F14/10000)+0.5*Bond_Analytics!$H$8*(F14/10000)^2</f>
        <v>-0.34875</v>
      </c>
      <c r="J14" s="28" t="n">
        <f aca="false">Barbell_vs_Bullet!$D$13*G14+Barbell_vs_Bullet!$D$14*H14+Barbell_vs_Bullet!$D$15*I14</f>
        <v>-0.04875</v>
      </c>
      <c r="K14" s="28" t="n">
        <f aca="false">Barbell_vs_Bullet!$E$13*G14+Barbell_vs_Bullet!$E$14*H14+Barbell_vs_Bullet!$E$15*I14</f>
        <v>-0.0996428571428571</v>
      </c>
      <c r="L14" s="28" t="n">
        <f aca="false">Barbell_vs_Bullet!$C$20+J14</f>
        <v>-0.00375</v>
      </c>
      <c r="M14" s="28" t="n">
        <f aca="false">Barbell_vs_Bullet!$D$20+K14</f>
        <v>-0.0567857142857143</v>
      </c>
      <c r="N14" s="40" t="n">
        <f aca="false">M14-L14</f>
        <v>-0.0530357142857143</v>
      </c>
      <c r="O14" s="39" t="n">
        <f aca="false">Inputs!$C$6*L14</f>
        <v>-375000</v>
      </c>
      <c r="P14" s="39" t="n">
        <f aca="false">Inputs!$C$6*M14</f>
        <v>-5678571.42857143</v>
      </c>
      <c r="Q14" s="48" t="str">
        <f aca="false">IF(ABS(N14)&lt;0.0000001,"Tie",IF(N14&gt;0,"Barbell","Bullet"))</f>
        <v>Bullet</v>
      </c>
      <c r="R14" s="28" t="n">
        <f aca="false">Barbell_vs_Bullet!$D$13*(EXP(-Bond_Analytics!$C$6*D14/10000)-1)+Barbell_vs_Bullet!$D$14*(EXP(-Bond_Analytics!$C$7*E14/10000)-1)+Barbell_vs_Bullet!$D$15*(EXP(-Bond_Analytics!$C$8*F14/10000)-1)</f>
        <v>-0.048770575499286</v>
      </c>
      <c r="S14" s="28" t="n">
        <f aca="false">Barbell_vs_Bullet!$E$13*(EXP(-Bond_Analytics!$C$6*D14/10000)-1)+Barbell_vs_Bullet!$E$14*(EXP(-Bond_Analytics!$C$7*E14/10000)-1)+Barbell_vs_Bullet!$E$15*(EXP(-Bond_Analytics!$C$8*F14/10000)-1)</f>
        <v>-0.10353481382235</v>
      </c>
      <c r="T14" s="10" t="s">
        <v>255</v>
      </c>
    </row>
    <row r="15" customFormat="false" ht="30" hidden="false" customHeight="true" outlineLevel="0" collapsed="false">
      <c r="B15" s="26" t="s">
        <v>256</v>
      </c>
      <c r="C15" s="12" t="s">
        <v>257</v>
      </c>
      <c r="D15" s="47" t="n">
        <v>-150</v>
      </c>
      <c r="E15" s="47" t="n">
        <v>-50</v>
      </c>
      <c r="F15" s="47" t="n">
        <v>0</v>
      </c>
      <c r="G15" s="28" t="n">
        <f aca="false">-Bond_Analytics!$F$6*(D15/10000)+0.5*Bond_Analytics!$H$6*(D15/10000)^2</f>
        <v>0.03045</v>
      </c>
      <c r="H15" s="28" t="n">
        <f aca="false">-Bond_Analytics!$F$7*(E15/10000)+0.5*Bond_Analytics!$H$7*(E15/10000)^2</f>
        <v>0.05125</v>
      </c>
      <c r="I15" s="28" t="n">
        <f aca="false">-Bond_Analytics!$F$8*(F15/10000)+0.5*Bond_Analytics!$H$8*(F15/10000)^2</f>
        <v>0</v>
      </c>
      <c r="J15" s="28" t="n">
        <f aca="false">Barbell_vs_Bullet!$D$13*G15+Barbell_vs_Bullet!$D$14*H15+Barbell_vs_Bullet!$D$15*I15</f>
        <v>0.05125</v>
      </c>
      <c r="K15" s="28" t="n">
        <f aca="false">Barbell_vs_Bullet!$E$13*G15+Barbell_vs_Bullet!$E$14*H15+Barbell_vs_Bullet!$E$15*I15</f>
        <v>0.02175</v>
      </c>
      <c r="L15" s="28" t="n">
        <f aca="false">Barbell_vs_Bullet!$C$20+J15</f>
        <v>0.09625</v>
      </c>
      <c r="M15" s="28" t="n">
        <f aca="false">Barbell_vs_Bullet!$D$20+K15</f>
        <v>0.0646071428571429</v>
      </c>
      <c r="N15" s="40" t="n">
        <f aca="false">M15-L15</f>
        <v>-0.0316428571428571</v>
      </c>
      <c r="O15" s="39" t="n">
        <f aca="false">Inputs!$C$6*L15</f>
        <v>9625000</v>
      </c>
      <c r="P15" s="39" t="n">
        <f aca="false">Inputs!$C$6*M15</f>
        <v>6460714.28571429</v>
      </c>
      <c r="Q15" s="48" t="str">
        <f aca="false">IF(ABS(N15)&lt;0.0000001,"Tie",IF(N15&gt;0,"Barbell","Bullet"))</f>
        <v>Bullet</v>
      </c>
      <c r="R15" s="28" t="n">
        <f aca="false">Barbell_vs_Bullet!$D$13*(EXP(-Bond_Analytics!$C$6*D15/10000)-1)+Barbell_vs_Bullet!$D$14*(EXP(-Bond_Analytics!$C$7*E15/10000)-1)+Barbell_vs_Bullet!$D$15*(EXP(-Bond_Analytics!$C$8*F15/10000)-1)</f>
        <v>0.0512710963760241</v>
      </c>
      <c r="S15" s="28" t="n">
        <f aca="false">Barbell_vs_Bullet!$E$13*(EXP(-Bond_Analytics!$C$6*D15/10000)-1)+Barbell_vs_Bullet!$E$14*(EXP(-Bond_Analytics!$C$7*E15/10000)-1)+Barbell_vs_Bullet!$E$15*(EXP(-Bond_Analytics!$C$8*F15/10000)-1)</f>
        <v>0.0217532385382264</v>
      </c>
      <c r="T15" s="10" t="s">
        <v>258</v>
      </c>
    </row>
    <row r="17" customFormat="false" ht="19.5" hidden="false" customHeight="true" outlineLevel="0" collapsed="false">
      <c r="B17" s="6" t="s">
        <v>259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customFormat="false" ht="30" hidden="false" customHeight="true" outlineLevel="0" collapsed="false">
      <c r="B18" s="7" t="s">
        <v>222</v>
      </c>
      <c r="C18" s="7" t="s">
        <v>260</v>
      </c>
      <c r="D18" s="7" t="s">
        <v>261</v>
      </c>
      <c r="E18" s="7" t="s">
        <v>262</v>
      </c>
      <c r="F18" s="7" t="s">
        <v>263</v>
      </c>
      <c r="G18" s="7" t="s">
        <v>264</v>
      </c>
      <c r="H18" s="7" t="s">
        <v>265</v>
      </c>
    </row>
    <row r="19" customFormat="false" ht="15" hidden="false" customHeight="false" outlineLevel="0" collapsed="false">
      <c r="B19" s="26" t="s">
        <v>235</v>
      </c>
      <c r="C19" s="36" t="n">
        <f aca="false">J8</f>
        <v>-0.18</v>
      </c>
      <c r="D19" s="36" t="n">
        <f aca="false">K8</f>
        <v>-0.148</v>
      </c>
      <c r="E19" s="40" t="n">
        <f aca="false">D19-C19</f>
        <v>0.0320000000000001</v>
      </c>
      <c r="F19" s="23" t="n">
        <v>-0.18</v>
      </c>
      <c r="G19" s="23" t="n">
        <v>-0.148</v>
      </c>
      <c r="H19" s="48" t="str">
        <f aca="false">IF(AND(ABS(C19-F19)&lt;0.0006,ABS(D19-G19)&lt;0.0006),"✔ Agrees","✘ Differs — see note")</f>
        <v>✔ Agrees</v>
      </c>
    </row>
    <row r="20" customFormat="false" ht="23.85" hidden="false" customHeight="false" outlineLevel="0" collapsed="false">
      <c r="B20" s="26" t="s">
        <v>238</v>
      </c>
      <c r="C20" s="36" t="n">
        <f aca="false">J9</f>
        <v>-0.095</v>
      </c>
      <c r="D20" s="36" t="n">
        <f aca="false">K9</f>
        <v>-0.0241875</v>
      </c>
      <c r="E20" s="40" t="n">
        <f aca="false">D20-C20</f>
        <v>0.0708125</v>
      </c>
      <c r="F20" s="23" t="n">
        <v>-0.0995</v>
      </c>
      <c r="G20" s="23" t="n">
        <v>-0.0242</v>
      </c>
      <c r="H20" s="48" t="str">
        <f aca="false">IF(AND(ABS(C20-F20)&lt;0.0006,ABS(D20-G20)&lt;0.0006),"✔ Agrees","✘ Differs — see note")</f>
        <v>✘ Differs — see note</v>
      </c>
    </row>
    <row r="21" customFormat="false" ht="23.85" hidden="false" customHeight="false" outlineLevel="0" collapsed="false">
      <c r="B21" s="26" t="s">
        <v>241</v>
      </c>
      <c r="C21" s="36" t="n">
        <f aca="false">J10</f>
        <v>-0.04875</v>
      </c>
      <c r="D21" s="36" t="n">
        <f aca="false">K10</f>
        <v>-0.0211071428571429</v>
      </c>
      <c r="E21" s="40" t="n">
        <f aca="false">D21-C21</f>
        <v>0.0276428571428571</v>
      </c>
      <c r="F21" s="23" t="n">
        <v>-0.0499</v>
      </c>
      <c r="G21" s="23" t="n">
        <v>-0.0211</v>
      </c>
      <c r="H21" s="48" t="str">
        <f aca="false">IF(AND(ABS(C21-F21)&lt;0.0006,ABS(D21-G21)&lt;0.0006),"✔ Agrees","✘ Differs — see note")</f>
        <v>✘ Differs — see note</v>
      </c>
    </row>
    <row r="22" customFormat="false" ht="42" hidden="false" customHeight="true" outlineLevel="0" collapsed="false">
      <c r="B22" s="14" t="s">
        <v>266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customFormat="false" ht="27.75" hidden="false" customHeight="true" outlineLevel="0" collapsed="false">
      <c r="B23" s="14" t="s">
        <v>267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46" customFormat="false" ht="19.5" hidden="false" customHeight="true" outlineLevel="0" collapsed="false">
      <c r="B46" s="17" t="s">
        <v>39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</row>
  </sheetData>
  <mergeCells count="13">
    <mergeCell ref="B1:T1"/>
    <mergeCell ref="B2:T2"/>
    <mergeCell ref="B4:T4"/>
    <mergeCell ref="D5:F5"/>
    <mergeCell ref="G5:I5"/>
    <mergeCell ref="J5:K5"/>
    <mergeCell ref="L5:N5"/>
    <mergeCell ref="O5:P5"/>
    <mergeCell ref="R5:S5"/>
    <mergeCell ref="B17:T17"/>
    <mergeCell ref="B22:T22"/>
    <mergeCell ref="B23:T23"/>
    <mergeCell ref="B46:T46"/>
  </mergeCells>
  <conditionalFormatting sqref="Q7:Q15">
    <cfRule type="cellIs" priority="2" operator="equal" aboveAverage="0" equalAverage="0" bottom="0" percent="0" rank="0" text="" dxfId="0">
      <formula>"Barbell"</formula>
    </cfRule>
    <cfRule type="cellIs" priority="3" operator="equal" aboveAverage="0" equalAverage="0" bottom="0" percent="0" rank="0" text="" dxfId="1">
      <formula>"Bullet"</formula>
    </cfRule>
  </conditionalFormatting>
  <conditionalFormatting sqref="N7:N15">
    <cfRule type="cellIs" priority="4" operator="lessThan" aboveAverage="0" equalAverage="0" bottom="0" percent="0" rank="0" text="" dxfId="2">
      <formula>0</formula>
    </cfRule>
  </conditionalFormatting>
  <conditionalFormatting sqref="H19:H21">
    <cfRule type="expression" priority="5" aboveAverage="0" equalAverage="0" bottom="0" percent="0" rank="0" text="" dxfId="3">
      <formula>LEFT(H19,1)="✔"</formula>
    </cfRule>
    <cfRule type="expression" priority="6" aboveAverage="0" equalAverage="0" bottom="0" percent="0" rank="0" text="" dxfId="2">
      <formula>LEFT(H19,1)="✘"</formula>
    </cfRule>
  </conditionalFormatting>
  <hyperlinks>
    <hyperlink ref="B46" r:id="rId1" display="Prof. V. Ravichandran  |  The Mountain Path Academy  | 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&amp;Chttps://themountainpathacademy.com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D700"/>
    <pageSetUpPr fitToPage="true"/>
  </sheetPr>
  <dimension ref="B1:I7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4"/>
    <col collapsed="false" customWidth="true" hidden="false" outlineLevel="0" max="4" min="3" style="0" width="15"/>
    <col collapsed="false" customWidth="true" hidden="false" outlineLevel="0" max="5" min="5" style="0" width="17"/>
    <col collapsed="false" customWidth="true" hidden="false" outlineLevel="0" max="6" min="6" style="0" width="16"/>
    <col collapsed="false" customWidth="true" hidden="false" outlineLevel="0" max="8" min="7" style="0" width="18"/>
    <col collapsed="false" customWidth="true" hidden="false" outlineLevel="0" max="9" min="9" style="0" width="2"/>
  </cols>
  <sheetData>
    <row r="1" customFormat="false" ht="36" hidden="false" customHeight="true" outlineLevel="0" collapsed="false">
      <c r="B1" s="1" t="s">
        <v>268</v>
      </c>
      <c r="C1" s="1"/>
      <c r="D1" s="1"/>
      <c r="E1" s="1"/>
      <c r="F1" s="1"/>
      <c r="G1" s="1"/>
      <c r="H1" s="1"/>
      <c r="I1" s="1"/>
    </row>
    <row r="2" customFormat="false" ht="19.5" hidden="false" customHeight="true" outlineLevel="0" collapsed="false">
      <c r="B2" s="2" t="s">
        <v>269</v>
      </c>
      <c r="C2" s="2"/>
      <c r="D2" s="2"/>
      <c r="E2" s="2"/>
      <c r="F2" s="2"/>
      <c r="G2" s="2"/>
      <c r="H2" s="2"/>
      <c r="I2" s="2"/>
    </row>
    <row r="4" customFormat="false" ht="15" hidden="false" customHeight="false" outlineLevel="0" collapsed="false">
      <c r="B4" s="15" t="s">
        <v>270</v>
      </c>
      <c r="C4" s="47" t="n">
        <v>-300</v>
      </c>
      <c r="D4" s="15" t="s">
        <v>271</v>
      </c>
      <c r="E4" s="47" t="n">
        <v>25</v>
      </c>
    </row>
    <row r="6" customFormat="false" ht="39.75" hidden="false" customHeight="true" outlineLevel="0" collapsed="false">
      <c r="B6" s="7" t="s">
        <v>272</v>
      </c>
      <c r="C6" s="7" t="s">
        <v>273</v>
      </c>
      <c r="D6" s="7" t="s">
        <v>274</v>
      </c>
      <c r="E6" s="7" t="s">
        <v>275</v>
      </c>
      <c r="F6" s="7" t="s">
        <v>276</v>
      </c>
      <c r="G6" s="7" t="s">
        <v>277</v>
      </c>
      <c r="H6" s="7" t="s">
        <v>278</v>
      </c>
    </row>
    <row r="7" customFormat="false" ht="15" hidden="false" customHeight="false" outlineLevel="0" collapsed="false">
      <c r="B7" s="49" t="n">
        <f aca="false">C4</f>
        <v>-300</v>
      </c>
      <c r="C7" s="28" t="n">
        <f aca="false">Barbell_vs_Bullet!$D$13*(EXP(-Bond_Analytics!$C$6*B7/10000)-1)+Barbell_vs_Bullet!$D$14*(EXP(-Bond_Analytics!$C$7*B7/10000)-1)+Barbell_vs_Bullet!$D$15*(EXP(-Bond_Analytics!$C$8*B7/10000)-1)</f>
        <v>0.349858807576003</v>
      </c>
      <c r="D7" s="28" t="n">
        <f aca="false">Barbell_vs_Bullet!$E$13*(EXP(-Bond_Analytics!$C$6*B7/10000)-1)+Barbell_vs_Bullet!$E$14*(EXP(-Bond_Analytics!$C$7*B7/10000)-1)+Barbell_vs_Bullet!$E$15*(EXP(-Bond_Analytics!$C$8*B7/10000)-1)</f>
        <v>0.461198422148671</v>
      </c>
      <c r="E7" s="28" t="n">
        <f aca="false">-Barbell_vs_Bullet!$C$6*B7/10000</f>
        <v>0.3</v>
      </c>
      <c r="F7" s="43" t="n">
        <f aca="false">D7-C7</f>
        <v>0.111339614572668</v>
      </c>
      <c r="G7" s="42" t="n">
        <f aca="false">F7+Barbell_vs_Bullet!$E$20</f>
        <v>0.109196757429811</v>
      </c>
      <c r="H7" s="48" t="str">
        <f aca="false">IF(G7&gt;0,"Barbell","Bullet")</f>
        <v>Barbell</v>
      </c>
    </row>
    <row r="8" customFormat="false" ht="15" hidden="false" customHeight="false" outlineLevel="0" collapsed="false">
      <c r="B8" s="49" t="n">
        <f aca="false">B7+$E$4</f>
        <v>-275</v>
      </c>
      <c r="C8" s="28" t="n">
        <f aca="false">Barbell_vs_Bullet!$D$13*(EXP(-Bond_Analytics!$C$6*B8/10000)-1)+Barbell_vs_Bullet!$D$14*(EXP(-Bond_Analytics!$C$7*B8/10000)-1)+Barbell_vs_Bullet!$D$15*(EXP(-Bond_Analytics!$C$8*B8/10000)-1)</f>
        <v>0.316530674867622</v>
      </c>
      <c r="D8" s="28" t="n">
        <f aca="false">Barbell_vs_Bullet!$E$13*(EXP(-Bond_Analytics!$C$6*B8/10000)-1)+Barbell_vs_Bullet!$E$14*(EXP(-Bond_Analytics!$C$7*B8/10000)-1)+Barbell_vs_Bullet!$E$15*(EXP(-Bond_Analytics!$C$8*B8/10000)-1)</f>
        <v>0.406637800576583</v>
      </c>
      <c r="E8" s="28" t="n">
        <f aca="false">-Barbell_vs_Bullet!$C$6*B8/10000</f>
        <v>0.275</v>
      </c>
      <c r="F8" s="43" t="n">
        <f aca="false">D8-C8</f>
        <v>0.0901071257089611</v>
      </c>
      <c r="G8" s="42" t="n">
        <f aca="false">F8+Barbell_vs_Bullet!$E$20</f>
        <v>0.087964268566104</v>
      </c>
      <c r="H8" s="48" t="str">
        <f aca="false">IF(G8&gt;0,"Barbell","Bullet")</f>
        <v>Barbell</v>
      </c>
    </row>
    <row r="9" customFormat="false" ht="15" hidden="false" customHeight="false" outlineLevel="0" collapsed="false">
      <c r="B9" s="49" t="n">
        <f aca="false">B8+$E$4</f>
        <v>-250</v>
      </c>
      <c r="C9" s="28" t="n">
        <f aca="false">Barbell_vs_Bullet!$D$13*(EXP(-Bond_Analytics!$C$6*B9/10000)-1)+Barbell_vs_Bullet!$D$14*(EXP(-Bond_Analytics!$C$7*B9/10000)-1)+Barbell_vs_Bullet!$D$15*(EXP(-Bond_Analytics!$C$8*B9/10000)-1)</f>
        <v>0.284025416687741</v>
      </c>
      <c r="D9" s="28" t="n">
        <f aca="false">Barbell_vs_Bullet!$E$13*(EXP(-Bond_Analytics!$C$6*B9/10000)-1)+Barbell_vs_Bullet!$E$14*(EXP(-Bond_Analytics!$C$7*B9/10000)-1)+Barbell_vs_Bullet!$E$15*(EXP(-Bond_Analytics!$C$8*B9/10000)-1)</f>
        <v>0.355765073586496</v>
      </c>
      <c r="E9" s="28" t="n">
        <f aca="false">-Barbell_vs_Bullet!$C$6*B9/10000</f>
        <v>0.25</v>
      </c>
      <c r="F9" s="43" t="n">
        <f aca="false">D9-C9</f>
        <v>0.0717396568987543</v>
      </c>
      <c r="G9" s="42" t="n">
        <f aca="false">F9+Barbell_vs_Bullet!$E$20</f>
        <v>0.0695967997558972</v>
      </c>
      <c r="H9" s="48" t="str">
        <f aca="false">IF(G9&gt;0,"Barbell","Bullet")</f>
        <v>Barbell</v>
      </c>
    </row>
    <row r="10" customFormat="false" ht="15" hidden="false" customHeight="false" outlineLevel="0" collapsed="false">
      <c r="B10" s="49" t="n">
        <f aca="false">B9+$E$4</f>
        <v>-225</v>
      </c>
      <c r="C10" s="28" t="n">
        <f aca="false">Barbell_vs_Bullet!$D$13*(EXP(-Bond_Analytics!$C$6*B10/10000)-1)+Barbell_vs_Bullet!$D$14*(EXP(-Bond_Analytics!$C$7*B10/10000)-1)+Barbell_vs_Bullet!$D$15*(EXP(-Bond_Analytics!$C$8*B10/10000)-1)</f>
        <v>0.252322716191864</v>
      </c>
      <c r="D10" s="28" t="n">
        <f aca="false">Barbell_vs_Bullet!$E$13*(EXP(-Bond_Analytics!$C$6*B10/10000)-1)+Barbell_vs_Bullet!$E$14*(EXP(-Bond_Analytics!$C$7*B10/10000)-1)+Barbell_vs_Bullet!$E$15*(EXP(-Bond_Analytics!$C$8*B10/10000)-1)</f>
        <v>0.308315035926183</v>
      </c>
      <c r="E10" s="28" t="n">
        <f aca="false">-Barbell_vs_Bullet!$C$6*B10/10000</f>
        <v>0.225</v>
      </c>
      <c r="F10" s="43" t="n">
        <f aca="false">D10-C10</f>
        <v>0.0559923197343184</v>
      </c>
      <c r="G10" s="42" t="n">
        <f aca="false">F10+Barbell_vs_Bullet!$E$20</f>
        <v>0.0538494625914613</v>
      </c>
      <c r="H10" s="48" t="str">
        <f aca="false">IF(G10&gt;0,"Barbell","Bullet")</f>
        <v>Barbell</v>
      </c>
    </row>
    <row r="11" customFormat="false" ht="15" hidden="false" customHeight="false" outlineLevel="0" collapsed="false">
      <c r="B11" s="49" t="n">
        <f aca="false">B10+$E$4</f>
        <v>-200</v>
      </c>
      <c r="C11" s="28" t="n">
        <f aca="false">Barbell_vs_Bullet!$D$13*(EXP(-Bond_Analytics!$C$6*B11/10000)-1)+Barbell_vs_Bullet!$D$14*(EXP(-Bond_Analytics!$C$7*B11/10000)-1)+Barbell_vs_Bullet!$D$15*(EXP(-Bond_Analytics!$C$8*B11/10000)-1)</f>
        <v>0.22140275816017</v>
      </c>
      <c r="D11" s="28" t="n">
        <f aca="false">Barbell_vs_Bullet!$E$13*(EXP(-Bond_Analytics!$C$6*B11/10000)-1)+Barbell_vs_Bullet!$E$14*(EXP(-Bond_Analytics!$C$7*B11/10000)-1)+Barbell_vs_Bullet!$E$15*(EXP(-Bond_Analytics!$C$8*B11/10000)-1)</f>
        <v>0.264041638820423</v>
      </c>
      <c r="E11" s="28" t="n">
        <f aca="false">-Barbell_vs_Bullet!$C$6*B11/10000</f>
        <v>0.2</v>
      </c>
      <c r="F11" s="43" t="n">
        <f aca="false">D11-C11</f>
        <v>0.0426388806602528</v>
      </c>
      <c r="G11" s="42" t="n">
        <f aca="false">F11+Barbell_vs_Bullet!$E$20</f>
        <v>0.0404960235173956</v>
      </c>
      <c r="H11" s="48" t="str">
        <f aca="false">IF(G11&gt;0,"Barbell","Bullet")</f>
        <v>Barbell</v>
      </c>
    </row>
    <row r="12" customFormat="false" ht="15" hidden="false" customHeight="false" outlineLevel="0" collapsed="false">
      <c r="B12" s="49" t="n">
        <f aca="false">B11+$E$4</f>
        <v>-175</v>
      </c>
      <c r="C12" s="28" t="n">
        <f aca="false">Barbell_vs_Bullet!$D$13*(EXP(-Bond_Analytics!$C$6*B12/10000)-1)+Barbell_vs_Bullet!$D$14*(EXP(-Bond_Analytics!$C$7*B12/10000)-1)+Barbell_vs_Bullet!$D$15*(EXP(-Bond_Analytics!$C$8*B12/10000)-1)</f>
        <v>0.191246216612358</v>
      </c>
      <c r="D12" s="28" t="n">
        <f aca="false">Barbell_vs_Bullet!$E$13*(EXP(-Bond_Analytics!$C$6*B12/10000)-1)+Barbell_vs_Bullet!$E$14*(EXP(-Bond_Analytics!$C$7*B12/10000)-1)+Barbell_vs_Bullet!$E$15*(EXP(-Bond_Analytics!$C$8*B12/10000)-1)</f>
        <v>0.222716605822328</v>
      </c>
      <c r="E12" s="28" t="n">
        <f aca="false">-Barbell_vs_Bullet!$C$6*B12/10000</f>
        <v>0.175</v>
      </c>
      <c r="F12" s="43" t="n">
        <f aca="false">D12-C12</f>
        <v>0.0314703892099704</v>
      </c>
      <c r="G12" s="42" t="n">
        <f aca="false">F12+Barbell_vs_Bullet!$E$20</f>
        <v>0.0293275320671133</v>
      </c>
      <c r="H12" s="48" t="str">
        <f aca="false">IF(G12&gt;0,"Barbell","Bullet")</f>
        <v>Barbell</v>
      </c>
    </row>
    <row r="13" customFormat="false" ht="15" hidden="false" customHeight="false" outlineLevel="0" collapsed="false">
      <c r="B13" s="49" t="n">
        <f aca="false">B12+$E$4</f>
        <v>-150</v>
      </c>
      <c r="C13" s="28" t="n">
        <f aca="false">Barbell_vs_Bullet!$D$13*(EXP(-Bond_Analytics!$C$6*B13/10000)-1)+Barbell_vs_Bullet!$D$14*(EXP(-Bond_Analytics!$C$7*B13/10000)-1)+Barbell_vs_Bullet!$D$15*(EXP(-Bond_Analytics!$C$8*B13/10000)-1)</f>
        <v>0.161834242728283</v>
      </c>
      <c r="D13" s="28" t="n">
        <f aca="false">Barbell_vs_Bullet!$E$13*(EXP(-Bond_Analytics!$C$6*B13/10000)-1)+Barbell_vs_Bullet!$E$14*(EXP(-Bond_Analytics!$C$7*B13/10000)-1)+Barbell_vs_Bullet!$E$15*(EXP(-Bond_Analytics!$C$8*B13/10000)-1)</f>
        <v>0.184128148678275</v>
      </c>
      <c r="E13" s="28" t="n">
        <f aca="false">-Barbell_vs_Bullet!$C$6*B13/10000</f>
        <v>0.15</v>
      </c>
      <c r="F13" s="43" t="n">
        <f aca="false">D13-C13</f>
        <v>0.0222939059499916</v>
      </c>
      <c r="G13" s="42" t="n">
        <f aca="false">F13+Barbell_vs_Bullet!$E$20</f>
        <v>0.0201510488071344</v>
      </c>
      <c r="H13" s="48" t="str">
        <f aca="false">IF(G13&gt;0,"Barbell","Bullet")</f>
        <v>Barbell</v>
      </c>
    </row>
    <row r="14" customFormat="false" ht="15" hidden="false" customHeight="false" outlineLevel="0" collapsed="false">
      <c r="B14" s="49" t="n">
        <f aca="false">B13+$E$4</f>
        <v>-125</v>
      </c>
      <c r="C14" s="28" t="n">
        <f aca="false">Barbell_vs_Bullet!$D$13*(EXP(-Bond_Analytics!$C$6*B14/10000)-1)+Barbell_vs_Bullet!$D$14*(EXP(-Bond_Analytics!$C$7*B14/10000)-1)+Barbell_vs_Bullet!$D$15*(EXP(-Bond_Analytics!$C$8*B14/10000)-1)</f>
        <v>0.133148453066826</v>
      </c>
      <c r="D14" s="28" t="n">
        <f aca="false">Barbell_vs_Bullet!$E$13*(EXP(-Bond_Analytics!$C$6*B14/10000)-1)+Barbell_vs_Bullet!$E$14*(EXP(-Bond_Analytics!$C$7*B14/10000)-1)+Barbell_vs_Bullet!$E$15*(EXP(-Bond_Analytics!$C$8*B14/10000)-1)</f>
        <v>0.148079775979792</v>
      </c>
      <c r="E14" s="28" t="n">
        <f aca="false">-Barbell_vs_Bullet!$C$6*B14/10000</f>
        <v>0.125</v>
      </c>
      <c r="F14" s="43" t="n">
        <f aca="false">D14-C14</f>
        <v>0.0149313229129661</v>
      </c>
      <c r="G14" s="42" t="n">
        <f aca="false">F14+Barbell_vs_Bullet!$E$20</f>
        <v>0.0127884657701089</v>
      </c>
      <c r="H14" s="48" t="str">
        <f aca="false">IF(G14&gt;0,"Barbell","Bullet")</f>
        <v>Barbell</v>
      </c>
    </row>
    <row r="15" customFormat="false" ht="15" hidden="false" customHeight="false" outlineLevel="0" collapsed="false">
      <c r="B15" s="49" t="n">
        <f aca="false">B14+$E$4</f>
        <v>-100</v>
      </c>
      <c r="C15" s="28" t="n">
        <f aca="false">Barbell_vs_Bullet!$D$13*(EXP(-Bond_Analytics!$C$6*B15/10000)-1)+Barbell_vs_Bullet!$D$14*(EXP(-Bond_Analytics!$C$7*B15/10000)-1)+Barbell_vs_Bullet!$D$15*(EXP(-Bond_Analytics!$C$8*B15/10000)-1)</f>
        <v>0.105170918075648</v>
      </c>
      <c r="D15" s="28" t="n">
        <f aca="false">Barbell_vs_Bullet!$E$13*(EXP(-Bond_Analytics!$C$6*B15/10000)-1)+Barbell_vs_Bullet!$E$14*(EXP(-Bond_Analytics!$C$7*B15/10000)-1)+Barbell_vs_Bullet!$E$15*(EXP(-Bond_Analytics!$C$8*B15/10000)-1)</f>
        <v>0.114389187897969</v>
      </c>
      <c r="E15" s="28" t="n">
        <f aca="false">-Barbell_vs_Bullet!$C$6*B15/10000</f>
        <v>0.1</v>
      </c>
      <c r="F15" s="43" t="n">
        <f aca="false">D15-C15</f>
        <v>0.0092182698223216</v>
      </c>
      <c r="G15" s="42" t="n">
        <f aca="false">F15+Barbell_vs_Bullet!$E$20</f>
        <v>0.00707541267946446</v>
      </c>
      <c r="H15" s="48" t="str">
        <f aca="false">IF(G15&gt;0,"Barbell","Bullet")</f>
        <v>Barbell</v>
      </c>
    </row>
    <row r="16" customFormat="false" ht="15" hidden="false" customHeight="false" outlineLevel="0" collapsed="false">
      <c r="B16" s="49" t="n">
        <f aca="false">B15+$E$4</f>
        <v>-75</v>
      </c>
      <c r="C16" s="28" t="n">
        <f aca="false">Barbell_vs_Bullet!$D$13*(EXP(-Bond_Analytics!$C$6*B16/10000)-1)+Barbell_vs_Bullet!$D$14*(EXP(-Bond_Analytics!$C$7*B16/10000)-1)+Barbell_vs_Bullet!$D$15*(EXP(-Bond_Analytics!$C$8*B16/10000)-1)</f>
        <v>0.0778841508846315</v>
      </c>
      <c r="D16" s="28" t="n">
        <f aca="false">Barbell_vs_Bullet!$E$13*(EXP(-Bond_Analytics!$C$6*B16/10000)-1)+Barbell_vs_Bullet!$E$14*(EXP(-Bond_Analytics!$C$7*B16/10000)-1)+Barbell_vs_Bullet!$E$15*(EXP(-Bond_Analytics!$C$8*B16/10000)-1)</f>
        <v>0.0828872507803319</v>
      </c>
      <c r="E16" s="28" t="n">
        <f aca="false">-Barbell_vs_Bullet!$C$6*B16/10000</f>
        <v>0.075</v>
      </c>
      <c r="F16" s="43" t="n">
        <f aca="false">D16-C16</f>
        <v>0.00500309989570041</v>
      </c>
      <c r="G16" s="42" t="n">
        <f aca="false">F16+Barbell_vs_Bullet!$E$20</f>
        <v>0.00286024275284327</v>
      </c>
      <c r="H16" s="48" t="str">
        <f aca="false">IF(G16&gt;0,"Barbell","Bullet")</f>
        <v>Barbell</v>
      </c>
    </row>
    <row r="17" customFormat="false" ht="15" hidden="false" customHeight="false" outlineLevel="0" collapsed="false">
      <c r="B17" s="49" t="n">
        <f aca="false">B16+$E$4</f>
        <v>-50</v>
      </c>
      <c r="C17" s="28" t="n">
        <f aca="false">Barbell_vs_Bullet!$D$13*(EXP(-Bond_Analytics!$C$6*B17/10000)-1)+Barbell_vs_Bullet!$D$14*(EXP(-Bond_Analytics!$C$7*B17/10000)-1)+Barbell_vs_Bullet!$D$15*(EXP(-Bond_Analytics!$C$8*B17/10000)-1)</f>
        <v>0.0512710963760241</v>
      </c>
      <c r="D17" s="28" t="n">
        <f aca="false">Barbell_vs_Bullet!$E$13*(EXP(-Bond_Analytics!$C$6*B17/10000)-1)+Barbell_vs_Bullet!$E$14*(EXP(-Bond_Analytics!$C$7*B17/10000)-1)+Barbell_vs_Bullet!$E$15*(EXP(-Bond_Analytics!$C$8*B17/10000)-1)</f>
        <v>0.0534170458396294</v>
      </c>
      <c r="E17" s="28" t="n">
        <f aca="false">-Barbell_vs_Bullet!$C$6*B17/10000</f>
        <v>0.05</v>
      </c>
      <c r="F17" s="43" t="n">
        <f aca="false">D17-C17</f>
        <v>0.00214594946360529</v>
      </c>
      <c r="G17" s="42" t="n">
        <f aca="false">F17+Barbell_vs_Bullet!$E$20</f>
        <v>3.09232074815341E-006</v>
      </c>
      <c r="H17" s="48" t="str">
        <f aca="false">IF(G17&gt;0,"Barbell","Bullet")</f>
        <v>Barbell</v>
      </c>
    </row>
    <row r="18" customFormat="false" ht="15" hidden="false" customHeight="false" outlineLevel="0" collapsed="false">
      <c r="B18" s="49" t="n">
        <f aca="false">B17+$E$4</f>
        <v>-25</v>
      </c>
      <c r="C18" s="28" t="n">
        <f aca="false">Barbell_vs_Bullet!$D$13*(EXP(-Bond_Analytics!$C$6*B18/10000)-1)+Barbell_vs_Bullet!$D$14*(EXP(-Bond_Analytics!$C$7*B18/10000)-1)+Barbell_vs_Bullet!$D$15*(EXP(-Bond_Analytics!$C$8*B18/10000)-1)</f>
        <v>0.0253151205244289</v>
      </c>
      <c r="D18" s="28" t="n">
        <f aca="false">Barbell_vs_Bullet!$E$13*(EXP(-Bond_Analytics!$C$6*B18/10000)-1)+Barbell_vs_Bullet!$E$14*(EXP(-Bond_Analytics!$C$7*B18/10000)-1)+Barbell_vs_Bullet!$E$15*(EXP(-Bond_Analytics!$C$8*B18/10000)-1)</f>
        <v>0.0258329865808954</v>
      </c>
      <c r="E18" s="28" t="n">
        <f aca="false">-Barbell_vs_Bullet!$C$6*B18/10000</f>
        <v>0.025</v>
      </c>
      <c r="F18" s="43" t="n">
        <f aca="false">D18-C18</f>
        <v>0.000517866056466546</v>
      </c>
      <c r="G18" s="42" t="n">
        <f aca="false">F18+Barbell_vs_Bullet!$E$20</f>
        <v>-0.0016249910863906</v>
      </c>
      <c r="H18" s="48" t="str">
        <f aca="false">IF(G18&gt;0,"Barbell","Bullet")</f>
        <v>Bullet</v>
      </c>
    </row>
    <row r="19" customFormat="false" ht="15" hidden="false" customHeight="false" outlineLevel="0" collapsed="false">
      <c r="B19" s="49" t="n">
        <f aca="false">B18+$E$4</f>
        <v>0</v>
      </c>
      <c r="C19" s="28" t="n">
        <f aca="false">Barbell_vs_Bullet!$D$13*(EXP(-Bond_Analytics!$C$6*B19/10000)-1)+Barbell_vs_Bullet!$D$14*(EXP(-Bond_Analytics!$C$7*B19/10000)-1)+Barbell_vs_Bullet!$D$15*(EXP(-Bond_Analytics!$C$8*B19/10000)-1)</f>
        <v>0</v>
      </c>
      <c r="D19" s="28" t="n">
        <f aca="false">Barbell_vs_Bullet!$E$13*(EXP(-Bond_Analytics!$C$6*B19/10000)-1)+Barbell_vs_Bullet!$E$14*(EXP(-Bond_Analytics!$C$7*B19/10000)-1)+Barbell_vs_Bullet!$E$15*(EXP(-Bond_Analytics!$C$8*B19/10000)-1)</f>
        <v>0</v>
      </c>
      <c r="E19" s="28" t="n">
        <f aca="false">-Barbell_vs_Bullet!$C$6*B19/10000</f>
        <v>-0</v>
      </c>
      <c r="F19" s="43" t="n">
        <f aca="false">D19-C19</f>
        <v>0</v>
      </c>
      <c r="G19" s="42" t="n">
        <f aca="false">F19+Barbell_vs_Bullet!$E$20</f>
        <v>-0.00214285714285714</v>
      </c>
      <c r="H19" s="48" t="str">
        <f aca="false">IF(G19&gt;0,"Barbell","Bullet")</f>
        <v>Bullet</v>
      </c>
    </row>
    <row r="20" customFormat="false" ht="15" hidden="false" customHeight="false" outlineLevel="0" collapsed="false">
      <c r="B20" s="49" t="n">
        <f aca="false">B19+$E$4</f>
        <v>25</v>
      </c>
      <c r="C20" s="28" t="n">
        <f aca="false">Barbell_vs_Bullet!$D$13*(EXP(-Bond_Analytics!$C$6*B20/10000)-1)+Barbell_vs_Bullet!$D$14*(EXP(-Bond_Analytics!$C$7*B20/10000)-1)+Barbell_vs_Bullet!$D$15*(EXP(-Bond_Analytics!$C$8*B20/10000)-1)</f>
        <v>-0.0246900879716674</v>
      </c>
      <c r="D20" s="28" t="n">
        <f aca="false">Barbell_vs_Bullet!$E$13*(EXP(-Bond_Analytics!$C$6*B20/10000)-1)+Barbell_vs_Bullet!$E$14*(EXP(-Bond_Analytics!$C$7*B20/10000)-1)+Barbell_vs_Bullet!$E$15*(EXP(-Bond_Analytics!$C$8*B20/10000)-1)</f>
        <v>-0.0242072330542118</v>
      </c>
      <c r="E20" s="28" t="n">
        <f aca="false">-Barbell_vs_Bullet!$C$6*B20/10000</f>
        <v>-0.025</v>
      </c>
      <c r="F20" s="43" t="n">
        <f aca="false">D20-C20</f>
        <v>0.000482854917455575</v>
      </c>
      <c r="G20" s="42" t="n">
        <f aca="false">F20+Barbell_vs_Bullet!$E$20</f>
        <v>-0.00166000222540157</v>
      </c>
      <c r="H20" s="48" t="str">
        <f aca="false">IF(G20&gt;0,"Barbell","Bullet")</f>
        <v>Bullet</v>
      </c>
    </row>
    <row r="21" customFormat="false" ht="15" hidden="false" customHeight="false" outlineLevel="0" collapsed="false">
      <c r="B21" s="49" t="n">
        <f aca="false">B20+$E$4</f>
        <v>50</v>
      </c>
      <c r="C21" s="28" t="n">
        <f aca="false">Barbell_vs_Bullet!$D$13*(EXP(-Bond_Analytics!$C$6*B21/10000)-1)+Barbell_vs_Bullet!$D$14*(EXP(-Bond_Analytics!$C$7*B21/10000)-1)+Barbell_vs_Bullet!$D$15*(EXP(-Bond_Analytics!$C$8*B21/10000)-1)</f>
        <v>-0.048770575499286</v>
      </c>
      <c r="D21" s="28" t="n">
        <f aca="false">Barbell_vs_Bullet!$E$13*(EXP(-Bond_Analytics!$C$6*B21/10000)-1)+Barbell_vs_Bullet!$E$14*(EXP(-Bond_Analytics!$C$7*B21/10000)-1)+Barbell_vs_Bullet!$E$15*(EXP(-Bond_Analytics!$C$8*B21/10000)-1)</f>
        <v>-0.0469049826291491</v>
      </c>
      <c r="E21" s="28" t="n">
        <f aca="false">-Barbell_vs_Bullet!$C$6*B21/10000</f>
        <v>-0.05</v>
      </c>
      <c r="F21" s="43" t="n">
        <f aca="false">D21-C21</f>
        <v>0.00186559287013686</v>
      </c>
      <c r="G21" s="42" t="n">
        <f aca="false">F21+Barbell_vs_Bullet!$E$20</f>
        <v>-0.000277264272720276</v>
      </c>
      <c r="H21" s="48" t="str">
        <f aca="false">IF(G21&gt;0,"Barbell","Bullet")</f>
        <v>Bullet</v>
      </c>
    </row>
    <row r="22" customFormat="false" ht="15" hidden="false" customHeight="false" outlineLevel="0" collapsed="false">
      <c r="B22" s="49" t="n">
        <f aca="false">B21+$E$4</f>
        <v>75</v>
      </c>
      <c r="C22" s="28" t="n">
        <f aca="false">Barbell_vs_Bullet!$D$13*(EXP(-Bond_Analytics!$C$6*B22/10000)-1)+Barbell_vs_Bullet!$D$14*(EXP(-Bond_Analytics!$C$7*B22/10000)-1)+Barbell_vs_Bullet!$D$15*(EXP(-Bond_Analytics!$C$8*B22/10000)-1)</f>
        <v>-0.0722565136714471</v>
      </c>
      <c r="D22" s="28" t="n">
        <f aca="false">Barbell_vs_Bullet!$E$13*(EXP(-Bond_Analytics!$C$6*B22/10000)-1)+Barbell_vs_Bullet!$E$14*(EXP(-Bond_Analytics!$C$7*B22/10000)-1)+Barbell_vs_Bullet!$E$15*(EXP(-Bond_Analytics!$C$8*B22/10000)-1)</f>
        <v>-0.0682011234951332</v>
      </c>
      <c r="E22" s="28" t="n">
        <f aca="false">-Barbell_vs_Bullet!$C$6*B22/10000</f>
        <v>-0.075</v>
      </c>
      <c r="F22" s="43" t="n">
        <f aca="false">D22-C22</f>
        <v>0.00405539017631391</v>
      </c>
      <c r="G22" s="42" t="n">
        <f aca="false">F22+Barbell_vs_Bullet!$E$20</f>
        <v>0.00191253303345677</v>
      </c>
      <c r="H22" s="48" t="str">
        <f aca="false">IF(G22&gt;0,"Barbell","Bullet")</f>
        <v>Barbell</v>
      </c>
    </row>
    <row r="23" customFormat="false" ht="15" hidden="false" customHeight="false" outlineLevel="0" collapsed="false">
      <c r="B23" s="49" t="n">
        <f aca="false">B22+$E$4</f>
        <v>100</v>
      </c>
      <c r="C23" s="28" t="n">
        <f aca="false">Barbell_vs_Bullet!$D$13*(EXP(-Bond_Analytics!$C$6*B23/10000)-1)+Barbell_vs_Bullet!$D$14*(EXP(-Bond_Analytics!$C$7*B23/10000)-1)+Barbell_vs_Bullet!$D$15*(EXP(-Bond_Analytics!$C$8*B23/10000)-1)</f>
        <v>-0.0951625819640405</v>
      </c>
      <c r="D23" s="28" t="n">
        <f aca="false">Barbell_vs_Bullet!$E$13*(EXP(-Bond_Analytics!$C$6*B23/10000)-1)+Barbell_vs_Bullet!$E$14*(EXP(-Bond_Analytics!$C$7*B23/10000)-1)+Barbell_vs_Bullet!$E$15*(EXP(-Bond_Analytics!$C$8*B23/10000)-1)</f>
        <v>-0.0881957417289697</v>
      </c>
      <c r="E23" s="28" t="n">
        <f aca="false">-Barbell_vs_Bullet!$C$6*B23/10000</f>
        <v>-0.1</v>
      </c>
      <c r="F23" s="43" t="n">
        <f aca="false">D23-C23</f>
        <v>0.00696684023507077</v>
      </c>
      <c r="G23" s="42" t="n">
        <f aca="false">F23+Barbell_vs_Bullet!$E$20</f>
        <v>0.00482398309221363</v>
      </c>
      <c r="H23" s="48" t="str">
        <f aca="false">IF(G23&gt;0,"Barbell","Bullet")</f>
        <v>Barbell</v>
      </c>
    </row>
    <row r="24" customFormat="false" ht="15" hidden="false" customHeight="false" outlineLevel="0" collapsed="false">
      <c r="B24" s="49" t="n">
        <f aca="false">B23+$E$4</f>
        <v>125</v>
      </c>
      <c r="C24" s="28" t="n">
        <f aca="false">Barbell_vs_Bullet!$D$13*(EXP(-Bond_Analytics!$C$6*B24/10000)-1)+Barbell_vs_Bullet!$D$14*(EXP(-Bond_Analytics!$C$7*B24/10000)-1)+Barbell_vs_Bullet!$D$15*(EXP(-Bond_Analytics!$C$8*B24/10000)-1)</f>
        <v>-0.117503097415405</v>
      </c>
      <c r="D24" s="28" t="n">
        <f aca="false">Barbell_vs_Bullet!$E$13*(EXP(-Bond_Analytics!$C$6*B24/10000)-1)+Barbell_vs_Bullet!$E$14*(EXP(-Bond_Analytics!$C$7*B24/10000)-1)+Barbell_vs_Bullet!$E$15*(EXP(-Bond_Analytics!$C$8*B24/10000)-1)</f>
        <v>-0.106981697468056</v>
      </c>
      <c r="E24" s="28" t="n">
        <f aca="false">-Barbell_vs_Bullet!$C$6*B24/10000</f>
        <v>-0.125</v>
      </c>
      <c r="F24" s="43" t="n">
        <f aca="false">D24-C24</f>
        <v>0.0105213999473485</v>
      </c>
      <c r="G24" s="42" t="n">
        <f aca="false">F24+Barbell_vs_Bullet!$E$20</f>
        <v>0.00837854280449135</v>
      </c>
      <c r="H24" s="48" t="str">
        <f aca="false">IF(G24&gt;0,"Barbell","Bullet")</f>
        <v>Barbell</v>
      </c>
    </row>
    <row r="25" customFormat="false" ht="15" hidden="false" customHeight="false" outlineLevel="0" collapsed="false">
      <c r="B25" s="49" t="n">
        <f aca="false">B24+$E$4</f>
        <v>150</v>
      </c>
      <c r="C25" s="28" t="n">
        <f aca="false">Barbell_vs_Bullet!$D$13*(EXP(-Bond_Analytics!$C$6*B25/10000)-1)+Barbell_vs_Bullet!$D$14*(EXP(-Bond_Analytics!$C$7*B25/10000)-1)+Barbell_vs_Bullet!$D$15*(EXP(-Bond_Analytics!$C$8*B25/10000)-1)</f>
        <v>-0.139292023574942</v>
      </c>
      <c r="D25" s="28" t="n">
        <f aca="false">Barbell_vs_Bullet!$E$13*(EXP(-Bond_Analytics!$C$6*B25/10000)-1)+Barbell_vs_Bullet!$E$14*(EXP(-Bond_Analytics!$C$7*B25/10000)-1)+Barbell_vs_Bullet!$E$15*(EXP(-Bond_Analytics!$C$8*B25/10000)-1)</f>
        <v>-0.124645147001988</v>
      </c>
      <c r="E25" s="28" t="n">
        <f aca="false">-Barbell_vs_Bullet!$C$6*B25/10000</f>
        <v>-0.15</v>
      </c>
      <c r="F25" s="43" t="n">
        <f aca="false">D25-C25</f>
        <v>0.0146468765729547</v>
      </c>
      <c r="G25" s="42" t="n">
        <f aca="false">F25+Barbell_vs_Bullet!$E$20</f>
        <v>0.0125040194300975</v>
      </c>
      <c r="H25" s="48" t="str">
        <f aca="false">IF(G25&gt;0,"Barbell","Bullet")</f>
        <v>Barbell</v>
      </c>
    </row>
    <row r="26" customFormat="false" ht="15" hidden="false" customHeight="false" outlineLevel="0" collapsed="false">
      <c r="B26" s="49" t="n">
        <f aca="false">B25+$E$4</f>
        <v>175</v>
      </c>
      <c r="C26" s="28" t="n">
        <f aca="false">Barbell_vs_Bullet!$D$13*(EXP(-Bond_Analytics!$C$6*B26/10000)-1)+Barbell_vs_Bullet!$D$14*(EXP(-Bond_Analytics!$C$7*B26/10000)-1)+Barbell_vs_Bullet!$D$15*(EXP(-Bond_Analytics!$C$8*B26/10000)-1)</f>
        <v>-0.160542979230793</v>
      </c>
      <c r="D26" s="28" t="n">
        <f aca="false">Barbell_vs_Bullet!$E$13*(EXP(-Bond_Analytics!$C$6*B26/10000)-1)+Barbell_vs_Bullet!$E$14*(EXP(-Bond_Analytics!$C$7*B26/10000)-1)+Barbell_vs_Bullet!$E$15*(EXP(-Bond_Analytics!$C$8*B26/10000)-1)</f>
        <v>-0.141266027139791</v>
      </c>
      <c r="E26" s="28" t="n">
        <f aca="false">-Barbell_vs_Bullet!$C$6*B26/10000</f>
        <v>-0.175</v>
      </c>
      <c r="F26" s="43" t="n">
        <f aca="false">D26-C26</f>
        <v>0.0192769520910016</v>
      </c>
      <c r="G26" s="42" t="n">
        <f aca="false">F26+Barbell_vs_Bullet!$E$20</f>
        <v>0.0171340949481444</v>
      </c>
      <c r="H26" s="48" t="str">
        <f aca="false">IF(G26&gt;0,"Barbell","Bullet")</f>
        <v>Barbell</v>
      </c>
    </row>
    <row r="27" customFormat="false" ht="15" hidden="false" customHeight="false" outlineLevel="0" collapsed="false">
      <c r="B27" s="49" t="n">
        <f aca="false">B26+$E$4</f>
        <v>200</v>
      </c>
      <c r="C27" s="28" t="n">
        <f aca="false">Barbell_vs_Bullet!$D$13*(EXP(-Bond_Analytics!$C$6*B27/10000)-1)+Barbell_vs_Bullet!$D$14*(EXP(-Bond_Analytics!$C$7*B27/10000)-1)+Barbell_vs_Bullet!$D$15*(EXP(-Bond_Analytics!$C$8*B27/10000)-1)</f>
        <v>-0.181269246922018</v>
      </c>
      <c r="D27" s="28" t="n">
        <f aca="false">Barbell_vs_Bullet!$E$13*(EXP(-Bond_Analytics!$C$6*B27/10000)-1)+Barbell_vs_Bullet!$E$14*(EXP(-Bond_Analytics!$C$7*B27/10000)-1)+Barbell_vs_Bullet!$E$15*(EXP(-Bond_Analytics!$C$8*B27/10000)-1)</f>
        <v>-0.156918504578619</v>
      </c>
      <c r="E27" s="28" t="n">
        <f aca="false">-Barbell_vs_Bullet!$C$6*B27/10000</f>
        <v>-0.2</v>
      </c>
      <c r="F27" s="43" t="n">
        <f aca="false">D27-C27</f>
        <v>0.0243507423433994</v>
      </c>
      <c r="G27" s="42" t="n">
        <f aca="false">F27+Barbell_vs_Bullet!$E$20</f>
        <v>0.0222078852005423</v>
      </c>
      <c r="H27" s="48" t="str">
        <f aca="false">IF(G27&gt;0,"Barbell","Bullet")</f>
        <v>Barbell</v>
      </c>
    </row>
    <row r="28" customFormat="false" ht="15" hidden="false" customHeight="false" outlineLevel="0" collapsed="false">
      <c r="B28" s="49" t="n">
        <f aca="false">B27+$E$4</f>
        <v>225</v>
      </c>
      <c r="C28" s="28" t="n">
        <f aca="false">Barbell_vs_Bullet!$D$13*(EXP(-Bond_Analytics!$C$6*B28/10000)-1)+Barbell_vs_Bullet!$D$14*(EXP(-Bond_Analytics!$C$7*B28/10000)-1)+Barbell_vs_Bullet!$D$15*(EXP(-Bond_Analytics!$C$8*B28/10000)-1)</f>
        <v>-0.201483781240623</v>
      </c>
      <c r="D28" s="28" t="n">
        <f aca="false">Barbell_vs_Bullet!$E$13*(EXP(-Bond_Analytics!$C$6*B28/10000)-1)+Barbell_vs_Bullet!$E$14*(EXP(-Bond_Analytics!$C$7*B28/10000)-1)+Barbell_vs_Bullet!$E$15*(EXP(-Bond_Analytics!$C$8*B28/10000)-1)</f>
        <v>-0.171671392802772</v>
      </c>
      <c r="E28" s="28" t="n">
        <f aca="false">-Barbell_vs_Bullet!$C$6*B28/10000</f>
        <v>-0.225</v>
      </c>
      <c r="F28" s="43" t="n">
        <f aca="false">D28-C28</f>
        <v>0.0298123884378513</v>
      </c>
      <c r="G28" s="42" t="n">
        <f aca="false">F28+Barbell_vs_Bullet!$E$20</f>
        <v>0.0276695312949941</v>
      </c>
      <c r="H28" s="48" t="str">
        <f aca="false">IF(G28&gt;0,"Barbell","Bullet")</f>
        <v>Barbell</v>
      </c>
    </row>
    <row r="29" customFormat="false" ht="15" hidden="false" customHeight="false" outlineLevel="0" collapsed="false">
      <c r="B29" s="49" t="n">
        <f aca="false">B28+$E$4</f>
        <v>250</v>
      </c>
      <c r="C29" s="28" t="n">
        <f aca="false">Barbell_vs_Bullet!$D$13*(EXP(-Bond_Analytics!$C$6*B29/10000)-1)+Barbell_vs_Bullet!$D$14*(EXP(-Bond_Analytics!$C$7*B29/10000)-1)+Barbell_vs_Bullet!$D$15*(EXP(-Bond_Analytics!$C$8*B29/10000)-1)</f>
        <v>-0.221199216928595</v>
      </c>
      <c r="D29" s="28" t="n">
        <f aca="false">Barbell_vs_Bullet!$E$13*(EXP(-Bond_Analytics!$C$6*B29/10000)-1)+Barbell_vs_Bullet!$E$14*(EXP(-Bond_Analytics!$C$7*B29/10000)-1)+Barbell_vs_Bullet!$E$15*(EXP(-Bond_Analytics!$C$8*B29/10000)-1)</f>
        <v>-0.1855885388592</v>
      </c>
      <c r="E29" s="28" t="n">
        <f aca="false">-Barbell_vs_Bullet!$C$6*B29/10000</f>
        <v>-0.25</v>
      </c>
      <c r="F29" s="43" t="n">
        <f aca="false">D29-C29</f>
        <v>0.0356106780693951</v>
      </c>
      <c r="G29" s="42" t="n">
        <f aca="false">F29+Barbell_vs_Bullet!$E$20</f>
        <v>0.0334678209265379</v>
      </c>
      <c r="H29" s="48" t="str">
        <f aca="false">IF(G29&gt;0,"Barbell","Bullet")</f>
        <v>Barbell</v>
      </c>
    </row>
    <row r="30" customFormat="false" ht="15" hidden="false" customHeight="false" outlineLevel="0" collapsed="false">
      <c r="B30" s="49" t="n">
        <f aca="false">B29+$E$4</f>
        <v>275</v>
      </c>
      <c r="C30" s="28" t="n">
        <f aca="false">Barbell_vs_Bullet!$D$13*(EXP(-Bond_Analytics!$C$6*B30/10000)-1)+Barbell_vs_Bullet!$D$14*(EXP(-Bond_Analytics!$C$7*B30/10000)-1)+Barbell_vs_Bullet!$D$15*(EXP(-Bond_Analytics!$C$8*B30/10000)-1)</f>
        <v>-0.240427876775032</v>
      </c>
      <c r="D30" s="28" t="n">
        <f aca="false">Barbell_vs_Bullet!$E$13*(EXP(-Bond_Analytics!$C$6*B30/10000)-1)+Barbell_vs_Bullet!$E$14*(EXP(-Bond_Analytics!$C$7*B30/10000)-1)+Barbell_vs_Bullet!$E$15*(EXP(-Bond_Analytics!$C$8*B30/10000)-1)</f>
        <v>-0.198729182186097</v>
      </c>
      <c r="E30" s="28" t="n">
        <f aca="false">-Barbell_vs_Bullet!$C$6*B30/10000</f>
        <v>-0.275</v>
      </c>
      <c r="F30" s="43" t="n">
        <f aca="false">D30-C30</f>
        <v>0.0416986945889341</v>
      </c>
      <c r="G30" s="42" t="n">
        <f aca="false">F30+Barbell_vs_Bullet!$E$20</f>
        <v>0.0395558374460769</v>
      </c>
      <c r="H30" s="48" t="str">
        <f aca="false">IF(G30&gt;0,"Barbell","Bullet")</f>
        <v>Barbell</v>
      </c>
    </row>
    <row r="31" customFormat="false" ht="15" hidden="false" customHeight="false" outlineLevel="0" collapsed="false">
      <c r="B31" s="49" t="n">
        <f aca="false">B30+$E$4</f>
        <v>300</v>
      </c>
      <c r="C31" s="28" t="n">
        <f aca="false">Barbell_vs_Bullet!$D$13*(EXP(-Bond_Analytics!$C$6*B31/10000)-1)+Barbell_vs_Bullet!$D$14*(EXP(-Bond_Analytics!$C$7*B31/10000)-1)+Barbell_vs_Bullet!$D$15*(EXP(-Bond_Analytics!$C$8*B31/10000)-1)</f>
        <v>-0.259181779318282</v>
      </c>
      <c r="D31" s="28" t="n">
        <f aca="false">Barbell_vs_Bullet!$E$13*(EXP(-Bond_Analytics!$C$6*B31/10000)-1)+Barbell_vs_Bullet!$E$14*(EXP(-Bond_Analytics!$C$7*B31/10000)-1)+Barbell_vs_Bullet!$E$15*(EXP(-Bond_Analytics!$C$8*B31/10000)-1)</f>
        <v>-0.211148287513937</v>
      </c>
      <c r="E31" s="28" t="n">
        <f aca="false">-Barbell_vs_Bullet!$C$6*B31/10000</f>
        <v>-0.3</v>
      </c>
      <c r="F31" s="43" t="n">
        <f aca="false">D31-C31</f>
        <v>0.0480334918043452</v>
      </c>
      <c r="G31" s="42" t="n">
        <f aca="false">F31+Barbell_vs_Bullet!$E$20</f>
        <v>0.0458906346614881</v>
      </c>
      <c r="H31" s="48" t="str">
        <f aca="false">IF(G31&gt;0,"Barbell","Bullet")</f>
        <v>Barbell</v>
      </c>
    </row>
    <row r="32" customFormat="false" ht="42" hidden="false" customHeight="true" outlineLevel="0" collapsed="false">
      <c r="B32" s="14" t="s">
        <v>279</v>
      </c>
      <c r="C32" s="14"/>
      <c r="D32" s="14"/>
      <c r="E32" s="14"/>
      <c r="F32" s="14"/>
      <c r="G32" s="14"/>
      <c r="H32" s="14"/>
    </row>
    <row r="77" customFormat="false" ht="19.5" hidden="false" customHeight="true" outlineLevel="0" collapsed="false">
      <c r="B77" s="17" t="s">
        <v>39</v>
      </c>
      <c r="C77" s="17"/>
      <c r="D77" s="17"/>
      <c r="E77" s="17"/>
      <c r="F77" s="17"/>
      <c r="G77" s="17"/>
      <c r="H77" s="17"/>
    </row>
  </sheetData>
  <mergeCells count="4">
    <mergeCell ref="B1:I1"/>
    <mergeCell ref="B2:I2"/>
    <mergeCell ref="B32:H32"/>
    <mergeCell ref="B77:H77"/>
  </mergeCells>
  <conditionalFormatting sqref="H7:H31">
    <cfRule type="cellIs" priority="2" operator="equal" aboveAverage="0" equalAverage="0" bottom="0" percent="0" rank="0" text="" dxfId="0">
      <formula>"Barbell"</formula>
    </cfRule>
    <cfRule type="cellIs" priority="3" operator="equal" aboveAverage="0" equalAverage="0" bottom="0" percent="0" rank="0" text="" dxfId="1">
      <formula>"Bullet"</formula>
    </cfRule>
  </conditionalFormatting>
  <hyperlinks>
    <hyperlink ref="B77" r:id="rId1" display="Prof. V. Ravichandran  |  The Mountain Path Academy  | 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&amp;Chttps://themountainpathacademy.com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D700"/>
    <pageSetUpPr fitToPage="true"/>
  </sheetPr>
  <dimension ref="B1:I7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7" min="3" style="0" width="16"/>
    <col collapsed="false" customWidth="true" hidden="false" outlineLevel="0" max="8" min="8" style="0" width="22"/>
    <col collapsed="false" customWidth="true" hidden="false" outlineLevel="0" max="9" min="9" style="0" width="2"/>
  </cols>
  <sheetData>
    <row r="1" customFormat="false" ht="36" hidden="false" customHeight="true" outlineLevel="0" collapsed="false">
      <c r="B1" s="1" t="s">
        <v>280</v>
      </c>
      <c r="C1" s="1"/>
      <c r="D1" s="1"/>
      <c r="E1" s="1"/>
      <c r="F1" s="1"/>
      <c r="G1" s="1"/>
      <c r="H1" s="1"/>
      <c r="I1" s="1"/>
    </row>
    <row r="2" customFormat="false" ht="19.5" hidden="false" customHeight="true" outlineLevel="0" collapsed="false">
      <c r="B2" s="2" t="s">
        <v>281</v>
      </c>
      <c r="C2" s="2"/>
      <c r="D2" s="2"/>
      <c r="E2" s="2"/>
      <c r="F2" s="2"/>
      <c r="G2" s="2"/>
      <c r="H2" s="2"/>
      <c r="I2" s="2"/>
    </row>
    <row r="4" customFormat="false" ht="19.5" hidden="false" customHeight="true" outlineLevel="0" collapsed="false">
      <c r="B4" s="6" t="s">
        <v>11</v>
      </c>
      <c r="C4" s="6"/>
      <c r="D4" s="6"/>
      <c r="E4" s="6"/>
      <c r="F4" s="6"/>
      <c r="G4" s="6"/>
      <c r="H4" s="6"/>
    </row>
    <row r="5" customFormat="false" ht="15" hidden="false" customHeight="false" outlineLevel="0" collapsed="false">
      <c r="B5" s="15" t="s">
        <v>282</v>
      </c>
      <c r="C5" s="21" t="n">
        <v>100000</v>
      </c>
      <c r="D5" s="12" t="s">
        <v>283</v>
      </c>
      <c r="E5" s="12"/>
      <c r="F5" s="12"/>
      <c r="G5" s="12"/>
      <c r="H5" s="12"/>
    </row>
    <row r="6" customFormat="false" ht="15" hidden="false" customHeight="false" outlineLevel="0" collapsed="false">
      <c r="B6" s="15" t="s">
        <v>284</v>
      </c>
      <c r="C6" s="23" t="n">
        <v>0.9</v>
      </c>
      <c r="D6" s="12" t="s">
        <v>285</v>
      </c>
      <c r="E6" s="12"/>
      <c r="F6" s="12"/>
      <c r="G6" s="12"/>
      <c r="H6" s="12"/>
    </row>
    <row r="7" customFormat="false" ht="15" hidden="false" customHeight="false" outlineLevel="0" collapsed="false">
      <c r="B7" s="15" t="s">
        <v>286</v>
      </c>
      <c r="C7" s="23" t="n">
        <v>0</v>
      </c>
      <c r="D7" s="12" t="s">
        <v>287</v>
      </c>
      <c r="E7" s="12"/>
      <c r="F7" s="12"/>
      <c r="G7" s="12"/>
      <c r="H7" s="12"/>
    </row>
    <row r="8" customFormat="false" ht="15" hidden="false" customHeight="false" outlineLevel="0" collapsed="false">
      <c r="B8" s="15" t="s">
        <v>288</v>
      </c>
      <c r="C8" s="23" t="n">
        <v>0.05</v>
      </c>
      <c r="D8" s="12" t="s">
        <v>289</v>
      </c>
      <c r="E8" s="12"/>
      <c r="F8" s="12"/>
      <c r="G8" s="12"/>
      <c r="H8" s="12"/>
    </row>
    <row r="9" customFormat="false" ht="15" hidden="false" customHeight="false" outlineLevel="0" collapsed="false">
      <c r="B9" s="15" t="s">
        <v>290</v>
      </c>
      <c r="C9" s="36" t="n">
        <f aca="false">1-C6-C7</f>
        <v>0.1</v>
      </c>
      <c r="D9" s="12" t="s">
        <v>291</v>
      </c>
      <c r="E9" s="12"/>
      <c r="F9" s="12"/>
      <c r="G9" s="12"/>
      <c r="H9" s="12"/>
    </row>
    <row r="11" customFormat="false" ht="19.5" hidden="false" customHeight="true" outlineLevel="0" collapsed="false">
      <c r="B11" s="6" t="s">
        <v>292</v>
      </c>
      <c r="C11" s="6"/>
      <c r="D11" s="6"/>
      <c r="E11" s="6"/>
      <c r="F11" s="6"/>
      <c r="G11" s="6"/>
      <c r="H11" s="6"/>
    </row>
    <row r="12" customFormat="false" ht="21.75" hidden="false" customHeight="true" outlineLevel="0" collapsed="false">
      <c r="B12" s="7" t="s">
        <v>293</v>
      </c>
      <c r="C12" s="7" t="s">
        <v>294</v>
      </c>
      <c r="D12" s="7" t="s">
        <v>295</v>
      </c>
      <c r="E12" s="7" t="s">
        <v>296</v>
      </c>
      <c r="F12" s="7" t="s">
        <v>297</v>
      </c>
    </row>
    <row r="13" customFormat="false" ht="15" hidden="false" customHeight="false" outlineLevel="0" collapsed="false">
      <c r="B13" s="26" t="s">
        <v>298</v>
      </c>
      <c r="C13" s="36" t="n">
        <f aca="false">C6</f>
        <v>0.9</v>
      </c>
      <c r="D13" s="31" t="n">
        <f aca="false">C13*$C$5</f>
        <v>90000</v>
      </c>
      <c r="E13" s="31" t="n">
        <v>0</v>
      </c>
      <c r="F13" s="36" t="n">
        <f aca="false">E13/$C$5</f>
        <v>0</v>
      </c>
    </row>
    <row r="14" customFormat="false" ht="15" hidden="false" customHeight="false" outlineLevel="0" collapsed="false">
      <c r="B14" s="26" t="s">
        <v>299</v>
      </c>
      <c r="C14" s="36" t="n">
        <f aca="false">C7</f>
        <v>0</v>
      </c>
      <c r="D14" s="31" t="n">
        <f aca="false">C14*$C$5</f>
        <v>0</v>
      </c>
      <c r="E14" s="31" t="n">
        <f aca="false">D14*0.5</f>
        <v>0</v>
      </c>
      <c r="F14" s="36" t="n">
        <f aca="false">E14/$C$5</f>
        <v>0</v>
      </c>
    </row>
    <row r="15" customFormat="false" ht="15" hidden="false" customHeight="false" outlineLevel="0" collapsed="false">
      <c r="B15" s="26" t="s">
        <v>300</v>
      </c>
      <c r="C15" s="36" t="n">
        <f aca="false">C9</f>
        <v>0.1</v>
      </c>
      <c r="D15" s="31" t="n">
        <f aca="false">C15*$C$5</f>
        <v>10000</v>
      </c>
      <c r="E15" s="31" t="n">
        <f aca="false">D15</f>
        <v>10000</v>
      </c>
      <c r="F15" s="36" t="n">
        <f aca="false">E15/$C$5</f>
        <v>0.1</v>
      </c>
    </row>
    <row r="16" customFormat="false" ht="15" hidden="false" customHeight="false" outlineLevel="0" collapsed="false">
      <c r="B16" s="15" t="s">
        <v>177</v>
      </c>
      <c r="C16" s="40" t="n">
        <f aca="false">SUM(C13:C15)</f>
        <v>1</v>
      </c>
      <c r="D16" s="41" t="n">
        <f aca="false">SUM(D13:D15)</f>
        <v>100000</v>
      </c>
      <c r="E16" s="41" t="n">
        <f aca="false">SUM(E13:E15)</f>
        <v>10000</v>
      </c>
      <c r="F16" s="40" t="n">
        <f aca="false">E16/C5</f>
        <v>0.1</v>
      </c>
    </row>
    <row r="17" customFormat="false" ht="30" hidden="false" customHeight="true" outlineLevel="0" collapsed="false">
      <c r="B17" s="14" t="s">
        <v>301</v>
      </c>
      <c r="C17" s="14"/>
      <c r="D17" s="14"/>
      <c r="E17" s="14"/>
      <c r="F17" s="14"/>
      <c r="G17" s="14"/>
      <c r="H17" s="14"/>
    </row>
    <row r="19" customFormat="false" ht="19.5" hidden="false" customHeight="true" outlineLevel="0" collapsed="false">
      <c r="B19" s="6" t="s">
        <v>302</v>
      </c>
      <c r="C19" s="6"/>
      <c r="D19" s="6"/>
      <c r="E19" s="6"/>
      <c r="F19" s="6"/>
      <c r="G19" s="6"/>
      <c r="H19" s="6"/>
    </row>
    <row r="20" customFormat="false" ht="30" hidden="false" customHeight="true" outlineLevel="0" collapsed="false">
      <c r="B20" s="7" t="s">
        <v>303</v>
      </c>
      <c r="C20" s="7" t="s">
        <v>304</v>
      </c>
      <c r="D20" s="7" t="s">
        <v>305</v>
      </c>
      <c r="E20" s="7" t="s">
        <v>306</v>
      </c>
      <c r="F20" s="7" t="s">
        <v>307</v>
      </c>
      <c r="G20" s="7" t="s">
        <v>308</v>
      </c>
      <c r="H20" s="7" t="s">
        <v>309</v>
      </c>
    </row>
    <row r="21" customFormat="false" ht="15" hidden="false" customHeight="false" outlineLevel="0" collapsed="false">
      <c r="B21" s="26" t="s">
        <v>310</v>
      </c>
      <c r="C21" s="50" t="n">
        <v>0</v>
      </c>
      <c r="D21" s="31" t="n">
        <f aca="false">$D$13*(1+$C$8)</f>
        <v>94500</v>
      </c>
      <c r="E21" s="31" t="n">
        <f aca="false">$D$15*C21</f>
        <v>0</v>
      </c>
      <c r="F21" s="41" t="n">
        <f aca="false">D21+E21</f>
        <v>94500</v>
      </c>
      <c r="G21" s="36" t="n">
        <f aca="false">F21/$C$5-1</f>
        <v>-0.0550000000000001</v>
      </c>
      <c r="H21" s="44" t="n">
        <f aca="false">MIN(1,F21/$C$5)</f>
        <v>0.945</v>
      </c>
    </row>
    <row r="22" customFormat="false" ht="15" hidden="false" customHeight="false" outlineLevel="0" collapsed="false">
      <c r="B22" s="26" t="s">
        <v>311</v>
      </c>
      <c r="C22" s="50" t="n">
        <v>0.5</v>
      </c>
      <c r="D22" s="31" t="n">
        <f aca="false">$D$13*(1+$C$8)</f>
        <v>94500</v>
      </c>
      <c r="E22" s="31" t="n">
        <f aca="false">$D$15*C22</f>
        <v>5000</v>
      </c>
      <c r="F22" s="41" t="n">
        <f aca="false">D22+E22</f>
        <v>99500</v>
      </c>
      <c r="G22" s="36" t="n">
        <f aca="false">F22/$C$5-1</f>
        <v>-0.005</v>
      </c>
      <c r="H22" s="44" t="n">
        <f aca="false">MIN(1,F22/$C$5)</f>
        <v>0.995</v>
      </c>
    </row>
    <row r="23" customFormat="false" ht="15" hidden="false" customHeight="false" outlineLevel="0" collapsed="false">
      <c r="B23" s="26" t="s">
        <v>312</v>
      </c>
      <c r="C23" s="50" t="n">
        <v>1</v>
      </c>
      <c r="D23" s="31" t="n">
        <f aca="false">$D$13*(1+$C$8)</f>
        <v>94500</v>
      </c>
      <c r="E23" s="31" t="n">
        <f aca="false">$D$15*C23</f>
        <v>10000</v>
      </c>
      <c r="F23" s="41" t="n">
        <f aca="false">D23+E23</f>
        <v>104500</v>
      </c>
      <c r="G23" s="36" t="n">
        <f aca="false">F23/$C$5-1</f>
        <v>0.0449999999999999</v>
      </c>
      <c r="H23" s="44" t="n">
        <f aca="false">MIN(1,F23/$C$5)</f>
        <v>1</v>
      </c>
    </row>
    <row r="24" customFormat="false" ht="15" hidden="false" customHeight="false" outlineLevel="0" collapsed="false">
      <c r="B24" s="26" t="s">
        <v>313</v>
      </c>
      <c r="C24" s="50" t="n">
        <v>2</v>
      </c>
      <c r="D24" s="31" t="n">
        <f aca="false">$D$13*(1+$C$8)</f>
        <v>94500</v>
      </c>
      <c r="E24" s="31" t="n">
        <f aca="false">$D$15*C24</f>
        <v>20000</v>
      </c>
      <c r="F24" s="41" t="n">
        <f aca="false">D24+E24</f>
        <v>114500</v>
      </c>
      <c r="G24" s="36" t="n">
        <f aca="false">F24/$C$5-1</f>
        <v>0.145</v>
      </c>
      <c r="H24" s="44" t="n">
        <f aca="false">MIN(1,F24/$C$5)</f>
        <v>1</v>
      </c>
    </row>
    <row r="25" customFormat="false" ht="15" hidden="false" customHeight="false" outlineLevel="0" collapsed="false">
      <c r="B25" s="26" t="s">
        <v>314</v>
      </c>
      <c r="C25" s="50" t="n">
        <v>5</v>
      </c>
      <c r="D25" s="31" t="n">
        <f aca="false">$D$13*(1+$C$8)</f>
        <v>94500</v>
      </c>
      <c r="E25" s="31" t="n">
        <f aca="false">$D$15*C25</f>
        <v>50000</v>
      </c>
      <c r="F25" s="41" t="n">
        <f aca="false">D25+E25</f>
        <v>144500</v>
      </c>
      <c r="G25" s="36" t="n">
        <f aca="false">F25/$C$5-1</f>
        <v>0.445</v>
      </c>
      <c r="H25" s="44" t="n">
        <f aca="false">MIN(1,F25/$C$5)</f>
        <v>1</v>
      </c>
    </row>
    <row r="26" customFormat="false" ht="15" hidden="false" customHeight="false" outlineLevel="0" collapsed="false">
      <c r="B26" s="26" t="s">
        <v>315</v>
      </c>
      <c r="C26" s="50" t="n">
        <v>10</v>
      </c>
      <c r="D26" s="31" t="n">
        <f aca="false">$D$13*(1+$C$8)</f>
        <v>94500</v>
      </c>
      <c r="E26" s="31" t="n">
        <f aca="false">$D$15*C26</f>
        <v>100000</v>
      </c>
      <c r="F26" s="41" t="n">
        <f aca="false">D26+E26</f>
        <v>194500</v>
      </c>
      <c r="G26" s="36" t="n">
        <f aca="false">F26/$C$5-1</f>
        <v>0.945</v>
      </c>
      <c r="H26" s="44" t="n">
        <f aca="false">MIN(1,F26/$C$5)</f>
        <v>1</v>
      </c>
    </row>
    <row r="27" customFormat="false" ht="15" hidden="false" customHeight="false" outlineLevel="0" collapsed="false">
      <c r="B27" s="26" t="s">
        <v>316</v>
      </c>
      <c r="C27" s="50" t="n">
        <v>20</v>
      </c>
      <c r="D27" s="31" t="n">
        <f aca="false">$D$13*(1+$C$8)</f>
        <v>94500</v>
      </c>
      <c r="E27" s="31" t="n">
        <f aca="false">$D$15*C27</f>
        <v>200000</v>
      </c>
      <c r="F27" s="41" t="n">
        <f aca="false">D27+E27</f>
        <v>294500</v>
      </c>
      <c r="G27" s="36" t="n">
        <f aca="false">F27/$C$5-1</f>
        <v>1.945</v>
      </c>
      <c r="H27" s="44" t="n">
        <f aca="false">MIN(1,F27/$C$5)</f>
        <v>1</v>
      </c>
    </row>
    <row r="28" customFormat="false" ht="15" hidden="false" customHeight="false" outlineLevel="0" collapsed="false">
      <c r="B28" s="26" t="s">
        <v>317</v>
      </c>
      <c r="C28" s="50" t="n">
        <v>50</v>
      </c>
      <c r="D28" s="31" t="n">
        <f aca="false">$D$13*(1+$C$8)</f>
        <v>94500</v>
      </c>
      <c r="E28" s="31" t="n">
        <f aca="false">$D$15*C28</f>
        <v>500000</v>
      </c>
      <c r="F28" s="41" t="n">
        <f aca="false">D28+E28</f>
        <v>594500</v>
      </c>
      <c r="G28" s="36" t="n">
        <f aca="false">F28/$C$5-1</f>
        <v>4.945</v>
      </c>
      <c r="H28" s="44" t="n">
        <f aca="false">MIN(1,F28/$C$5)</f>
        <v>1</v>
      </c>
    </row>
    <row r="29" customFormat="false" ht="15" hidden="false" customHeight="false" outlineLevel="0" collapsed="false">
      <c r="B29" s="15" t="s">
        <v>318</v>
      </c>
      <c r="C29" s="51" t="n">
        <f aca="false">IF(D15=0,0,MAX(0,($C$5-D13*(1+C8))/D15))</f>
        <v>0.55</v>
      </c>
      <c r="D29" s="12" t="s">
        <v>319</v>
      </c>
      <c r="E29" s="12"/>
      <c r="F29" s="12"/>
      <c r="G29" s="12"/>
      <c r="H29" s="12"/>
    </row>
    <row r="31" customFormat="false" ht="19.5" hidden="false" customHeight="true" outlineLevel="0" collapsed="false">
      <c r="B31" s="6" t="s">
        <v>320</v>
      </c>
      <c r="C31" s="6"/>
      <c r="D31" s="6"/>
      <c r="E31" s="6"/>
      <c r="F31" s="6"/>
      <c r="G31" s="6"/>
      <c r="H31" s="6"/>
    </row>
    <row r="32" customFormat="false" ht="21.75" hidden="false" customHeight="true" outlineLevel="0" collapsed="false">
      <c r="B32" s="7" t="s">
        <v>321</v>
      </c>
      <c r="C32" s="7" t="s">
        <v>322</v>
      </c>
      <c r="D32" s="7" t="s">
        <v>323</v>
      </c>
      <c r="E32" s="7" t="s">
        <v>324</v>
      </c>
      <c r="F32" s="7" t="s">
        <v>325</v>
      </c>
    </row>
    <row r="33" customFormat="false" ht="15" hidden="false" customHeight="false" outlineLevel="0" collapsed="false">
      <c r="B33" s="26" t="s">
        <v>326</v>
      </c>
      <c r="C33" s="31" t="n">
        <f aca="false">$D$15/10</f>
        <v>1000</v>
      </c>
      <c r="D33" s="50" t="n">
        <v>0</v>
      </c>
      <c r="E33" s="31" t="n">
        <f aca="false">C33*D33</f>
        <v>0</v>
      </c>
      <c r="F33" s="31" t="n">
        <f aca="false">E33-C33</f>
        <v>-1000</v>
      </c>
    </row>
    <row r="34" customFormat="false" ht="15" hidden="false" customHeight="false" outlineLevel="0" collapsed="false">
      <c r="B34" s="26" t="s">
        <v>327</v>
      </c>
      <c r="C34" s="31" t="n">
        <f aca="false">$D$15/10</f>
        <v>1000</v>
      </c>
      <c r="D34" s="50" t="n">
        <v>0</v>
      </c>
      <c r="E34" s="31" t="n">
        <f aca="false">C34*D34</f>
        <v>0</v>
      </c>
      <c r="F34" s="31" t="n">
        <f aca="false">E34-C34</f>
        <v>-1000</v>
      </c>
    </row>
    <row r="35" customFormat="false" ht="15" hidden="false" customHeight="false" outlineLevel="0" collapsed="false">
      <c r="B35" s="26" t="s">
        <v>328</v>
      </c>
      <c r="C35" s="31" t="n">
        <f aca="false">$D$15/10</f>
        <v>1000</v>
      </c>
      <c r="D35" s="50" t="n">
        <v>0</v>
      </c>
      <c r="E35" s="31" t="n">
        <f aca="false">C35*D35</f>
        <v>0</v>
      </c>
      <c r="F35" s="31" t="n">
        <f aca="false">E35-C35</f>
        <v>-1000</v>
      </c>
    </row>
    <row r="36" customFormat="false" ht="15" hidden="false" customHeight="false" outlineLevel="0" collapsed="false">
      <c r="B36" s="26" t="s">
        <v>329</v>
      </c>
      <c r="C36" s="31" t="n">
        <f aca="false">$D$15/10</f>
        <v>1000</v>
      </c>
      <c r="D36" s="50" t="n">
        <v>0</v>
      </c>
      <c r="E36" s="31" t="n">
        <f aca="false">C36*D36</f>
        <v>0</v>
      </c>
      <c r="F36" s="31" t="n">
        <f aca="false">E36-C36</f>
        <v>-1000</v>
      </c>
    </row>
    <row r="37" customFormat="false" ht="15" hidden="false" customHeight="false" outlineLevel="0" collapsed="false">
      <c r="B37" s="26" t="s">
        <v>330</v>
      </c>
      <c r="C37" s="31" t="n">
        <f aca="false">$D$15/10</f>
        <v>1000</v>
      </c>
      <c r="D37" s="50" t="n">
        <v>0</v>
      </c>
      <c r="E37" s="31" t="n">
        <f aca="false">C37*D37</f>
        <v>0</v>
      </c>
      <c r="F37" s="31" t="n">
        <f aca="false">E37-C37</f>
        <v>-1000</v>
      </c>
    </row>
    <row r="38" customFormat="false" ht="15" hidden="false" customHeight="false" outlineLevel="0" collapsed="false">
      <c r="B38" s="26" t="s">
        <v>331</v>
      </c>
      <c r="C38" s="31" t="n">
        <f aca="false">$D$15/10</f>
        <v>1000</v>
      </c>
      <c r="D38" s="50" t="n">
        <v>0</v>
      </c>
      <c r="E38" s="31" t="n">
        <f aca="false">C38*D38</f>
        <v>0</v>
      </c>
      <c r="F38" s="31" t="n">
        <f aca="false">E38-C38</f>
        <v>-1000</v>
      </c>
    </row>
    <row r="39" customFormat="false" ht="15" hidden="false" customHeight="false" outlineLevel="0" collapsed="false">
      <c r="B39" s="26" t="s">
        <v>332</v>
      </c>
      <c r="C39" s="31" t="n">
        <f aca="false">$D$15/10</f>
        <v>1000</v>
      </c>
      <c r="D39" s="50" t="n">
        <v>0.5</v>
      </c>
      <c r="E39" s="31" t="n">
        <f aca="false">C39*D39</f>
        <v>500</v>
      </c>
      <c r="F39" s="31" t="n">
        <f aca="false">E39-C39</f>
        <v>-500</v>
      </c>
    </row>
    <row r="40" customFormat="false" ht="15" hidden="false" customHeight="false" outlineLevel="0" collapsed="false">
      <c r="B40" s="26" t="s">
        <v>333</v>
      </c>
      <c r="C40" s="31" t="n">
        <f aca="false">$D$15/10</f>
        <v>1000</v>
      </c>
      <c r="D40" s="50" t="n">
        <v>1</v>
      </c>
      <c r="E40" s="31" t="n">
        <f aca="false">C40*D40</f>
        <v>1000</v>
      </c>
      <c r="F40" s="31" t="n">
        <f aca="false">E40-C40</f>
        <v>0</v>
      </c>
    </row>
    <row r="41" customFormat="false" ht="15" hidden="false" customHeight="false" outlineLevel="0" collapsed="false">
      <c r="B41" s="26" t="s">
        <v>334</v>
      </c>
      <c r="C41" s="31" t="n">
        <f aca="false">$D$15/10</f>
        <v>1000</v>
      </c>
      <c r="D41" s="50" t="n">
        <v>3</v>
      </c>
      <c r="E41" s="31" t="n">
        <f aca="false">C41*D41</f>
        <v>3000</v>
      </c>
      <c r="F41" s="31" t="n">
        <f aca="false">E41-C41</f>
        <v>2000</v>
      </c>
    </row>
    <row r="42" customFormat="false" ht="15" hidden="false" customHeight="false" outlineLevel="0" collapsed="false">
      <c r="B42" s="26" t="s">
        <v>335</v>
      </c>
      <c r="C42" s="31" t="n">
        <f aca="false">$D$15/10</f>
        <v>1000</v>
      </c>
      <c r="D42" s="50" t="n">
        <v>25</v>
      </c>
      <c r="E42" s="31" t="n">
        <f aca="false">C42*D42</f>
        <v>25000</v>
      </c>
      <c r="F42" s="31" t="n">
        <f aca="false">E42-C42</f>
        <v>24000</v>
      </c>
    </row>
    <row r="43" customFormat="false" ht="15" hidden="false" customHeight="false" outlineLevel="0" collapsed="false">
      <c r="B43" s="15" t="s">
        <v>336</v>
      </c>
      <c r="C43" s="41" t="n">
        <f aca="false">SUM(C33:C42)</f>
        <v>10000</v>
      </c>
      <c r="E43" s="41" t="n">
        <f aca="false">SUM(E33:E42)</f>
        <v>29500</v>
      </c>
      <c r="F43" s="41" t="n">
        <f aca="false">SUM(F33:F42)</f>
        <v>19500</v>
      </c>
    </row>
    <row r="44" customFormat="false" ht="15" hidden="false" customHeight="false" outlineLevel="0" collapsed="false">
      <c r="B44" s="15" t="s">
        <v>337</v>
      </c>
      <c r="C44" s="49" t="n">
        <f aca="false">COUNTIF(D33:D42,"&lt;1")</f>
        <v>7</v>
      </c>
    </row>
    <row r="45" customFormat="false" ht="15" hidden="false" customHeight="false" outlineLevel="0" collapsed="false">
      <c r="B45" s="15" t="s">
        <v>338</v>
      </c>
      <c r="C45" s="41" t="n">
        <f aca="false">D13*(1+C8)+E43</f>
        <v>124000</v>
      </c>
    </row>
    <row r="46" customFormat="false" ht="15" hidden="false" customHeight="false" outlineLevel="0" collapsed="false">
      <c r="B46" s="15" t="s">
        <v>308</v>
      </c>
      <c r="C46" s="40" t="n">
        <f aca="false">C45/C5-1</f>
        <v>0.24</v>
      </c>
      <c r="D46" s="34" t="str">
        <f aca="false">"Even with "&amp;C44&amp;" of 10 bets losing, the portfolio returns "&amp;TEXT(C46,"0.0%")&amp;"."</f>
        <v>Even with 7 of 10 bets losing, the portfolio returns 24.0%.</v>
      </c>
      <c r="E46" s="34"/>
      <c r="F46" s="34"/>
      <c r="G46" s="34"/>
      <c r="H46" s="34"/>
    </row>
    <row r="48" customFormat="false" ht="19.5" hidden="false" customHeight="true" outlineLevel="0" collapsed="false">
      <c r="B48" s="6" t="s">
        <v>339</v>
      </c>
      <c r="C48" s="6"/>
      <c r="D48" s="6"/>
      <c r="E48" s="6"/>
      <c r="F48" s="6"/>
      <c r="G48" s="6"/>
      <c r="H48" s="6"/>
    </row>
    <row r="49" customFormat="false" ht="30" hidden="false" customHeight="true" outlineLevel="0" collapsed="false">
      <c r="B49" s="7" t="s">
        <v>340</v>
      </c>
      <c r="C49" s="7" t="s">
        <v>341</v>
      </c>
      <c r="D49" s="7" t="s">
        <v>342</v>
      </c>
      <c r="E49" s="7" t="s">
        <v>343</v>
      </c>
      <c r="F49" s="7" t="s">
        <v>344</v>
      </c>
      <c r="G49" s="7" t="s">
        <v>345</v>
      </c>
      <c r="H49" s="7" t="s">
        <v>346</v>
      </c>
    </row>
    <row r="50" customFormat="false" ht="15" hidden="false" customHeight="false" outlineLevel="0" collapsed="false">
      <c r="B50" s="26" t="s">
        <v>347</v>
      </c>
      <c r="C50" s="23" t="n">
        <v>-0.4</v>
      </c>
      <c r="D50" s="50" t="n">
        <v>0</v>
      </c>
      <c r="E50" s="23" t="n">
        <v>0.05</v>
      </c>
      <c r="F50" s="31" t="n">
        <f aca="false">$D$13*(1+E50)+$D$15*D50</f>
        <v>94500</v>
      </c>
      <c r="G50" s="31" t="n">
        <f aca="false">$C$5*(1+C50)</f>
        <v>60000</v>
      </c>
      <c r="H50" s="41" t="n">
        <f aca="false">F50-G50</f>
        <v>34500</v>
      </c>
    </row>
    <row r="51" customFormat="false" ht="15" hidden="false" customHeight="false" outlineLevel="0" collapsed="false">
      <c r="B51" s="26" t="s">
        <v>348</v>
      </c>
      <c r="C51" s="23" t="n">
        <v>-0.15</v>
      </c>
      <c r="D51" s="50" t="n">
        <v>0.3</v>
      </c>
      <c r="E51" s="23" t="n">
        <v>0.05</v>
      </c>
      <c r="F51" s="31" t="n">
        <f aca="false">$D$13*(1+E51)+$D$15*D51</f>
        <v>97500</v>
      </c>
      <c r="G51" s="31" t="n">
        <f aca="false">$C$5*(1+C51)</f>
        <v>85000</v>
      </c>
      <c r="H51" s="41" t="n">
        <f aca="false">F51-G51</f>
        <v>12500</v>
      </c>
    </row>
    <row r="52" customFormat="false" ht="15" hidden="false" customHeight="false" outlineLevel="0" collapsed="false">
      <c r="B52" s="26" t="s">
        <v>349</v>
      </c>
      <c r="C52" s="23" t="n">
        <v>0.1</v>
      </c>
      <c r="D52" s="50" t="n">
        <v>0.8</v>
      </c>
      <c r="E52" s="23" t="n">
        <v>0.05</v>
      </c>
      <c r="F52" s="31" t="n">
        <f aca="false">$D$13*(1+E52)+$D$15*D52</f>
        <v>102500</v>
      </c>
      <c r="G52" s="31" t="n">
        <f aca="false">$C$5*(1+C52)</f>
        <v>110000</v>
      </c>
      <c r="H52" s="41" t="n">
        <f aca="false">F52-G52</f>
        <v>-7500.00000000002</v>
      </c>
    </row>
    <row r="53" customFormat="false" ht="15" hidden="false" customHeight="false" outlineLevel="0" collapsed="false">
      <c r="B53" s="26" t="s">
        <v>350</v>
      </c>
      <c r="C53" s="23" t="n">
        <v>0.25</v>
      </c>
      <c r="D53" s="50" t="n">
        <v>10</v>
      </c>
      <c r="E53" s="23" t="n">
        <v>0.05</v>
      </c>
      <c r="F53" s="31" t="n">
        <f aca="false">$D$13*(1+E53)+$D$15*D53</f>
        <v>194500</v>
      </c>
      <c r="G53" s="31" t="n">
        <f aca="false">$C$5*(1+C53)</f>
        <v>125000</v>
      </c>
      <c r="H53" s="41" t="n">
        <f aca="false">F53-G53</f>
        <v>69500</v>
      </c>
    </row>
    <row r="54" customFormat="false" ht="15" hidden="false" customHeight="false" outlineLevel="0" collapsed="false">
      <c r="B54" s="15" t="s">
        <v>351</v>
      </c>
      <c r="F54" s="41" t="n">
        <f aca="false">MIN(F50:F53)</f>
        <v>94500</v>
      </c>
      <c r="G54" s="41" t="n">
        <f aca="false">MIN(G50:G53)</f>
        <v>60000</v>
      </c>
    </row>
    <row r="55" customFormat="false" ht="15" hidden="false" customHeight="false" outlineLevel="0" collapsed="false">
      <c r="B55" s="15" t="s">
        <v>352</v>
      </c>
      <c r="F55" s="40" t="n">
        <f aca="false">F54/$C$5-1</f>
        <v>-0.0550000000000001</v>
      </c>
      <c r="G55" s="40" t="n">
        <f aca="false">G54/$C$5-1</f>
        <v>-0.4</v>
      </c>
    </row>
    <row r="56" customFormat="false" ht="30" hidden="false" customHeight="true" outlineLevel="0" collapsed="false">
      <c r="B56" s="14" t="s">
        <v>353</v>
      </c>
      <c r="C56" s="14"/>
      <c r="D56" s="14"/>
      <c r="E56" s="14"/>
      <c r="F56" s="14"/>
      <c r="G56" s="14"/>
      <c r="H56" s="14"/>
    </row>
    <row r="78" customFormat="false" ht="19.5" hidden="false" customHeight="true" outlineLevel="0" collapsed="false">
      <c r="B78" s="17" t="s">
        <v>39</v>
      </c>
      <c r="C78" s="17"/>
      <c r="D78" s="17"/>
      <c r="E78" s="17"/>
      <c r="F78" s="17"/>
      <c r="G78" s="17"/>
      <c r="H78" s="17"/>
    </row>
  </sheetData>
  <mergeCells count="17">
    <mergeCell ref="B1:I1"/>
    <mergeCell ref="B2:I2"/>
    <mergeCell ref="B4:H4"/>
    <mergeCell ref="D5:H5"/>
    <mergeCell ref="D6:H6"/>
    <mergeCell ref="D7:H7"/>
    <mergeCell ref="D8:H8"/>
    <mergeCell ref="D9:H9"/>
    <mergeCell ref="B11:H11"/>
    <mergeCell ref="B17:H17"/>
    <mergeCell ref="B19:H19"/>
    <mergeCell ref="D29:H29"/>
    <mergeCell ref="B31:H31"/>
    <mergeCell ref="D46:H46"/>
    <mergeCell ref="B48:H48"/>
    <mergeCell ref="B56:H56"/>
    <mergeCell ref="B78:H78"/>
  </mergeCells>
  <conditionalFormatting sqref="G21:G28">
    <cfRule type="cellIs" priority="2" operator="lessThan" aboveAverage="0" equalAverage="0" bottom="0" percent="0" rank="0" text="" dxfId="4">
      <formula>0</formula>
    </cfRule>
    <cfRule type="cellIs" priority="3" operator="greaterThan" aboveAverage="0" equalAverage="0" bottom="0" percent="0" rank="0" text="" dxfId="5">
      <formula>0</formula>
    </cfRule>
  </conditionalFormatting>
  <conditionalFormatting sqref="H50:H53">
    <cfRule type="cellIs" priority="4" operator="lessThan" aboveAverage="0" equalAverage="0" bottom="0" percent="0" rank="0" text="" dxfId="4">
      <formula>0</formula>
    </cfRule>
    <cfRule type="cellIs" priority="5" operator="greaterThan" aboveAverage="0" equalAverage="0" bottom="0" percent="0" rank="0" text="" dxfId="5">
      <formula>0</formula>
    </cfRule>
  </conditionalFormatting>
  <hyperlinks>
    <hyperlink ref="B78" r:id="rId1" display="Prof. V. Ravichandran  |  The Mountain Path Academy  | 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&amp;Chttps://themountainpathacademy.com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3366"/>
    <pageSetUpPr fitToPage="true"/>
  </sheetPr>
  <dimension ref="B1:E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4" min="3" style="0" width="44"/>
    <col collapsed="false" customWidth="true" hidden="false" outlineLevel="0" max="5" min="5" style="0" width="40"/>
    <col collapsed="false" customWidth="true" hidden="false" outlineLevel="0" max="6" min="6" style="0" width="2"/>
  </cols>
  <sheetData>
    <row r="1" customFormat="false" ht="36" hidden="false" customHeight="true" outlineLevel="0" collapsed="false">
      <c r="B1" s="1" t="s">
        <v>354</v>
      </c>
      <c r="C1" s="1"/>
      <c r="D1" s="1"/>
      <c r="E1" s="1"/>
    </row>
    <row r="2" customFormat="false" ht="19.5" hidden="false" customHeight="true" outlineLevel="0" collapsed="false">
      <c r="B2" s="2" t="s">
        <v>355</v>
      </c>
      <c r="C2" s="2"/>
      <c r="D2" s="2"/>
      <c r="E2" s="2"/>
    </row>
    <row r="4" customFormat="false" ht="24" hidden="false" customHeight="true" outlineLevel="0" collapsed="false">
      <c r="B4" s="7" t="s">
        <v>356</v>
      </c>
      <c r="C4" s="7" t="s">
        <v>357</v>
      </c>
      <c r="D4" s="7" t="s">
        <v>358</v>
      </c>
      <c r="E4" s="7" t="s">
        <v>359</v>
      </c>
    </row>
    <row r="5" customFormat="false" ht="31.5" hidden="false" customHeight="true" outlineLevel="0" collapsed="false">
      <c r="B5" s="18" t="s">
        <v>360</v>
      </c>
      <c r="C5" s="52" t="s">
        <v>361</v>
      </c>
      <c r="D5" s="52" t="s">
        <v>362</v>
      </c>
      <c r="E5" s="52" t="s">
        <v>363</v>
      </c>
    </row>
    <row r="6" customFormat="false" ht="31.5" hidden="false" customHeight="true" outlineLevel="0" collapsed="false">
      <c r="B6" s="18" t="s">
        <v>364</v>
      </c>
      <c r="C6" s="10" t="s">
        <v>365</v>
      </c>
      <c r="D6" s="10" t="s">
        <v>366</v>
      </c>
      <c r="E6" s="10" t="s">
        <v>367</v>
      </c>
    </row>
    <row r="7" customFormat="false" ht="31.5" hidden="false" customHeight="true" outlineLevel="0" collapsed="false">
      <c r="B7" s="18" t="s">
        <v>368</v>
      </c>
      <c r="C7" s="52" t="s">
        <v>369</v>
      </c>
      <c r="D7" s="52" t="s">
        <v>370</v>
      </c>
      <c r="E7" s="52" t="s">
        <v>371</v>
      </c>
    </row>
    <row r="8" customFormat="false" ht="31.5" hidden="false" customHeight="true" outlineLevel="0" collapsed="false">
      <c r="B8" s="18" t="s">
        <v>372</v>
      </c>
      <c r="C8" s="10" t="s">
        <v>373</v>
      </c>
      <c r="D8" s="10" t="s">
        <v>374</v>
      </c>
      <c r="E8" s="10" t="s">
        <v>375</v>
      </c>
    </row>
    <row r="9" customFormat="false" ht="31.5" hidden="false" customHeight="true" outlineLevel="0" collapsed="false">
      <c r="B9" s="18" t="s">
        <v>376</v>
      </c>
      <c r="C9" s="52" t="s">
        <v>377</v>
      </c>
      <c r="D9" s="52" t="s">
        <v>378</v>
      </c>
      <c r="E9" s="52" t="s">
        <v>379</v>
      </c>
    </row>
    <row r="10" customFormat="false" ht="31.5" hidden="false" customHeight="true" outlineLevel="0" collapsed="false">
      <c r="B10" s="18" t="s">
        <v>380</v>
      </c>
      <c r="C10" s="10" t="s">
        <v>381</v>
      </c>
      <c r="D10" s="10" t="s">
        <v>382</v>
      </c>
      <c r="E10" s="10" t="s">
        <v>383</v>
      </c>
    </row>
    <row r="11" customFormat="false" ht="31.5" hidden="false" customHeight="true" outlineLevel="0" collapsed="false">
      <c r="B11" s="18" t="s">
        <v>384</v>
      </c>
      <c r="C11" s="52" t="s">
        <v>385</v>
      </c>
      <c r="D11" s="52" t="s">
        <v>386</v>
      </c>
      <c r="E11" s="52" t="s">
        <v>387</v>
      </c>
    </row>
    <row r="12" customFormat="false" ht="31.5" hidden="false" customHeight="true" outlineLevel="0" collapsed="false">
      <c r="B12" s="18" t="s">
        <v>388</v>
      </c>
      <c r="C12" s="10" t="s">
        <v>389</v>
      </c>
      <c r="D12" s="10" t="s">
        <v>390</v>
      </c>
      <c r="E12" s="10" t="s">
        <v>391</v>
      </c>
    </row>
    <row r="13" customFormat="false" ht="31.5" hidden="false" customHeight="true" outlineLevel="0" collapsed="false">
      <c r="B13" s="18" t="s">
        <v>392</v>
      </c>
      <c r="C13" s="52" t="s">
        <v>393</v>
      </c>
      <c r="D13" s="52" t="s">
        <v>394</v>
      </c>
      <c r="E13" s="52" t="s">
        <v>395</v>
      </c>
    </row>
    <row r="14" customFormat="false" ht="31.5" hidden="false" customHeight="true" outlineLevel="0" collapsed="false">
      <c r="B14" s="18" t="s">
        <v>396</v>
      </c>
      <c r="C14" s="10" t="s">
        <v>397</v>
      </c>
      <c r="D14" s="10" t="s">
        <v>398</v>
      </c>
      <c r="E14" s="10" t="s">
        <v>399</v>
      </c>
    </row>
    <row r="15" customFormat="false" ht="31.5" hidden="false" customHeight="true" outlineLevel="0" collapsed="false">
      <c r="B15" s="18" t="s">
        <v>400</v>
      </c>
      <c r="C15" s="52" t="s">
        <v>401</v>
      </c>
      <c r="D15" s="52" t="s">
        <v>402</v>
      </c>
      <c r="E15" s="52" t="s">
        <v>403</v>
      </c>
    </row>
    <row r="16" customFormat="false" ht="31.5" hidden="false" customHeight="true" outlineLevel="0" collapsed="false">
      <c r="B16" s="18" t="s">
        <v>404</v>
      </c>
      <c r="C16" s="20" t="str">
        <f aca="false">"Duration "&amp;TEXT(Barbell_vs_Bullet!D21,"0.0")&amp;" | Convexity "&amp;TEXT(Barbell_vs_Bullet!D22,"0.0")&amp;" | Yield "&amp;TEXT(Barbell_vs_Bullet!D20,"0.00%")</f>
        <v>Duration 10.0 | Convexity 260.0 | Yield 4.29%</v>
      </c>
      <c r="D16" s="20" t="str">
        <f aca="false">"Worst case "&amp;TEXT(Taleb_Barbell!G21,"0.0%")&amp;" | 20x case "&amp;TEXT(Taleb_Barbell!G27,"0.0%")</f>
        <v>Worst case -5.5% | 20x case 194.5%</v>
      </c>
      <c r="E16" s="20" t="str">
        <f aca="false">"Duration "&amp;TEXT(Barbell_vs_Bullet!C21,"0.0")&amp;" | Convexity "&amp;TEXT(Barbell_vs_Bullet!C22,"0.0")&amp;" | Yield "&amp;TEXT(Barbell_vs_Bullet!C20,"0.00%")</f>
        <v>Duration 10.0 | Convexity 100.0 | Yield 4.50%</v>
      </c>
    </row>
    <row r="18" customFormat="false" ht="19.5" hidden="false" customHeight="true" outlineLevel="0" collapsed="false">
      <c r="B18" s="17" t="s">
        <v>39</v>
      </c>
      <c r="C18" s="17"/>
      <c r="D18" s="17"/>
      <c r="E18" s="17"/>
    </row>
  </sheetData>
  <mergeCells count="3">
    <mergeCell ref="B1:E1"/>
    <mergeCell ref="B2:E2"/>
    <mergeCell ref="B18:E18"/>
  </mergeCells>
  <hyperlinks>
    <hyperlink ref="B18" r:id="rId1" display="Prof. V. Ravichandran  |  The Mountain Path Academy  | 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&amp;Chttps://themountainpathacademy.com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3366"/>
    <pageSetUpPr fitToPage="true"/>
  </sheetPr>
  <dimension ref="B1:F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16"/>
    <col collapsed="false" customWidth="true" hidden="false" outlineLevel="0" max="4" min="4" style="0" width="46"/>
    <col collapsed="false" customWidth="true" hidden="false" outlineLevel="0" max="5" min="5" style="0" width="80"/>
    <col collapsed="false" customWidth="true" hidden="false" outlineLevel="0" max="6" min="6" style="0" width="18"/>
    <col collapsed="false" customWidth="true" hidden="false" outlineLevel="0" max="7" min="7" style="0" width="2"/>
  </cols>
  <sheetData>
    <row r="1" customFormat="false" ht="36" hidden="false" customHeight="true" outlineLevel="0" collapsed="false">
      <c r="B1" s="1" t="s">
        <v>405</v>
      </c>
      <c r="C1" s="1"/>
      <c r="D1" s="1"/>
      <c r="E1" s="1"/>
      <c r="F1" s="1"/>
    </row>
    <row r="2" customFormat="false" ht="19.5" hidden="false" customHeight="true" outlineLevel="0" collapsed="false">
      <c r="B2" s="2" t="s">
        <v>406</v>
      </c>
      <c r="C2" s="2"/>
      <c r="D2" s="2"/>
      <c r="E2" s="2"/>
      <c r="F2" s="2"/>
    </row>
    <row r="4" customFormat="false" ht="21.75" hidden="false" customHeight="true" outlineLevel="0" collapsed="false">
      <c r="B4" s="7" t="s">
        <v>6</v>
      </c>
      <c r="C4" s="7" t="s">
        <v>407</v>
      </c>
      <c r="D4" s="7" t="s">
        <v>408</v>
      </c>
      <c r="E4" s="7" t="s">
        <v>409</v>
      </c>
      <c r="F4" s="7" t="s">
        <v>410</v>
      </c>
    </row>
    <row r="5" customFormat="false" ht="45.75" hidden="false" customHeight="true" outlineLevel="0" collapsed="false">
      <c r="B5" s="48" t="n">
        <v>1</v>
      </c>
      <c r="C5" s="18" t="s">
        <v>411</v>
      </c>
      <c r="D5" s="19" t="s">
        <v>412</v>
      </c>
      <c r="E5" s="10" t="s">
        <v>413</v>
      </c>
      <c r="F5" s="53" t="s">
        <v>9</v>
      </c>
    </row>
    <row r="6" customFormat="false" ht="45.75" hidden="false" customHeight="true" outlineLevel="0" collapsed="false">
      <c r="B6" s="48" t="n">
        <v>2</v>
      </c>
      <c r="C6" s="18" t="s">
        <v>411</v>
      </c>
      <c r="D6" s="19" t="s">
        <v>414</v>
      </c>
      <c r="E6" s="10" t="s">
        <v>415</v>
      </c>
      <c r="F6" s="53" t="s">
        <v>9</v>
      </c>
    </row>
    <row r="7" customFormat="false" ht="45.75" hidden="false" customHeight="true" outlineLevel="0" collapsed="false">
      <c r="B7" s="48" t="n">
        <v>3</v>
      </c>
      <c r="C7" s="18" t="s">
        <v>416</v>
      </c>
      <c r="D7" s="19" t="s">
        <v>417</v>
      </c>
      <c r="E7" s="10" t="s">
        <v>418</v>
      </c>
      <c r="F7" s="53" t="s">
        <v>13</v>
      </c>
    </row>
    <row r="8" customFormat="false" ht="45.75" hidden="false" customHeight="true" outlineLevel="0" collapsed="false">
      <c r="B8" s="48" t="n">
        <v>4</v>
      </c>
      <c r="C8" s="18" t="s">
        <v>416</v>
      </c>
      <c r="D8" s="19" t="s">
        <v>419</v>
      </c>
      <c r="E8" s="10" t="s">
        <v>420</v>
      </c>
      <c r="F8" s="53" t="s">
        <v>9</v>
      </c>
    </row>
    <row r="9" customFormat="false" ht="45.75" hidden="false" customHeight="true" outlineLevel="0" collapsed="false">
      <c r="B9" s="48" t="n">
        <v>5</v>
      </c>
      <c r="C9" s="18" t="s">
        <v>416</v>
      </c>
      <c r="D9" s="19" t="s">
        <v>421</v>
      </c>
      <c r="E9" s="20" t="str">
        <f aca="false">"Solve w·T_S + (1−w)·T_L = D*. Here w_S = ("&amp;Inputs!C9&amp;" − "&amp;Inputs!C8&amp;")/("&amp;Inputs!C9&amp;" − "&amp;Inputs!C7&amp;") = "&amp;TEXT(Barbell_vs_Bullet!C7,"0.00%")&amp;" and w_L = "&amp;TEXT(Barbell_vs_Bullet!C8,"0.00%")&amp;"."</f>
        <v>Solve w·T_S + (1−w)·T_L = D*. Here w_S = (30 − 10)/(30 − 2) = 71.43% and w_L = 28.57%.</v>
      </c>
      <c r="F9" s="53" t="s">
        <v>15</v>
      </c>
    </row>
    <row r="10" customFormat="false" ht="45.75" hidden="false" customHeight="true" outlineLevel="0" collapsed="false">
      <c r="B10" s="48" t="n">
        <v>6</v>
      </c>
      <c r="C10" s="18" t="s">
        <v>416</v>
      </c>
      <c r="D10" s="19" t="s">
        <v>422</v>
      </c>
      <c r="E10" s="10" t="s">
        <v>423</v>
      </c>
      <c r="F10" s="53" t="s">
        <v>17</v>
      </c>
    </row>
    <row r="11" customFormat="false" ht="45.75" hidden="false" customHeight="true" outlineLevel="0" collapsed="false">
      <c r="B11" s="48" t="n">
        <v>7</v>
      </c>
      <c r="C11" s="18" t="s">
        <v>188</v>
      </c>
      <c r="D11" s="19" t="s">
        <v>424</v>
      </c>
      <c r="E11" s="10" t="s">
        <v>425</v>
      </c>
      <c r="F11" s="53" t="s">
        <v>9</v>
      </c>
    </row>
    <row r="12" customFormat="false" ht="45.75" hidden="false" customHeight="true" outlineLevel="0" collapsed="false">
      <c r="B12" s="48" t="n">
        <v>8</v>
      </c>
      <c r="C12" s="18" t="s">
        <v>188</v>
      </c>
      <c r="D12" s="19" t="s">
        <v>426</v>
      </c>
      <c r="E12" s="10" t="s">
        <v>427</v>
      </c>
      <c r="F12" s="53" t="s">
        <v>15</v>
      </c>
    </row>
    <row r="13" customFormat="false" ht="45.75" hidden="false" customHeight="true" outlineLevel="0" collapsed="false">
      <c r="B13" s="48" t="n">
        <v>9</v>
      </c>
      <c r="C13" s="18" t="s">
        <v>188</v>
      </c>
      <c r="D13" s="19" t="s">
        <v>428</v>
      </c>
      <c r="E13" s="20" t="str">
        <f aca="false">"Bullet "&amp;TEXT(Barbell_vs_Bullet!C22,"0.00")&amp;" vs Barbell "&amp;TEXT(Barbell_vs_Bullet!D22,"0.00")&amp;" — a pick-up of "&amp;TEXT(Barbell_vs_Bullet!E27,"0%")&amp;"."</f>
        <v>Bullet 100.00 vs Barbell 260.00 — a pick-up of 160%.</v>
      </c>
      <c r="F13" s="53" t="s">
        <v>15</v>
      </c>
    </row>
    <row r="14" customFormat="false" ht="45.75" hidden="false" customHeight="true" outlineLevel="0" collapsed="false">
      <c r="B14" s="48" t="n">
        <v>10</v>
      </c>
      <c r="C14" s="18" t="s">
        <v>188</v>
      </c>
      <c r="D14" s="19" t="s">
        <v>429</v>
      </c>
      <c r="E14" s="10" t="s">
        <v>430</v>
      </c>
      <c r="F14" s="53" t="s">
        <v>13</v>
      </c>
    </row>
    <row r="15" customFormat="false" ht="45.75" hidden="false" customHeight="true" outlineLevel="0" collapsed="false">
      <c r="B15" s="48" t="n">
        <v>11</v>
      </c>
      <c r="C15" s="18" t="s">
        <v>431</v>
      </c>
      <c r="D15" s="19" t="s">
        <v>432</v>
      </c>
      <c r="E15" s="20" t="str">
        <f aca="false">"On an upward curve the duration-matched barbell yields less than the bullet: "&amp;TEXT(Barbell_vs_Bullet!D20,"0.000%")&amp;" vs "&amp;TEXT(Barbell_vs_Bullet!C20,"0.000%")&amp;" ("&amp;TEXT(Barbell_vs_Bullet!E26,"0.0")&amp;" bps). It is the price the market charges for convexity."</f>
        <v>On an upward curve the duration-matched barbell yields less than the bullet: 4.286% vs 4.500% (-21.4 bps). It is the price the market charges for convexity.</v>
      </c>
      <c r="F15" s="53" t="s">
        <v>15</v>
      </c>
    </row>
    <row r="16" customFormat="false" ht="45.75" hidden="false" customHeight="true" outlineLevel="0" collapsed="false">
      <c r="B16" s="48" t="n">
        <v>12</v>
      </c>
      <c r="C16" s="18" t="s">
        <v>431</v>
      </c>
      <c r="D16" s="19" t="s">
        <v>433</v>
      </c>
      <c r="E16" s="20" t="str">
        <f aca="false">"About ±"&amp;TEXT(Barbell_vs_Bullet!E28,"0")&amp;" bps: |Δy| = √(2 × yield drag / ΔC). Smaller moves leave the bullet ahead because of its higher carry."</f>
        <v>About ±52 bps: |Δy| = √(2 × yield drag / ΔC). Smaller moves leave the bullet ahead because of its higher carry.</v>
      </c>
      <c r="F16" s="53" t="s">
        <v>19</v>
      </c>
    </row>
    <row r="17" customFormat="false" ht="45.75" hidden="false" customHeight="true" outlineLevel="0" collapsed="false">
      <c r="B17" s="48" t="n">
        <v>13</v>
      </c>
      <c r="C17" s="18" t="s">
        <v>17</v>
      </c>
      <c r="D17" s="19" t="s">
        <v>434</v>
      </c>
      <c r="E17" s="10" t="s">
        <v>435</v>
      </c>
      <c r="F17" s="53" t="s">
        <v>17</v>
      </c>
    </row>
    <row r="18" customFormat="false" ht="45.75" hidden="false" customHeight="true" outlineLevel="0" collapsed="false">
      <c r="B18" s="48" t="n">
        <v>14</v>
      </c>
      <c r="C18" s="18" t="s">
        <v>17</v>
      </c>
      <c r="D18" s="19" t="s">
        <v>436</v>
      </c>
      <c r="E18" s="10" t="s">
        <v>437</v>
      </c>
      <c r="F18" s="53" t="s">
        <v>17</v>
      </c>
    </row>
    <row r="19" customFormat="false" ht="45.75" hidden="false" customHeight="true" outlineLevel="0" collapsed="false">
      <c r="B19" s="48" t="n">
        <v>15</v>
      </c>
      <c r="C19" s="18" t="s">
        <v>17</v>
      </c>
      <c r="D19" s="19" t="s">
        <v>438</v>
      </c>
      <c r="E19" s="10" t="s">
        <v>439</v>
      </c>
      <c r="F19" s="53" t="s">
        <v>17</v>
      </c>
    </row>
    <row r="20" customFormat="false" ht="45.75" hidden="false" customHeight="true" outlineLevel="0" collapsed="false">
      <c r="B20" s="48" t="n">
        <v>16</v>
      </c>
      <c r="C20" s="18" t="s">
        <v>17</v>
      </c>
      <c r="D20" s="19" t="s">
        <v>440</v>
      </c>
      <c r="E20" s="10" t="s">
        <v>441</v>
      </c>
      <c r="F20" s="53" t="s">
        <v>17</v>
      </c>
    </row>
    <row r="21" customFormat="false" ht="45.75" hidden="false" customHeight="true" outlineLevel="0" collapsed="false">
      <c r="B21" s="48" t="n">
        <v>17</v>
      </c>
      <c r="C21" s="18" t="s">
        <v>442</v>
      </c>
      <c r="D21" s="19" t="s">
        <v>443</v>
      </c>
      <c r="E21" s="10" t="s">
        <v>444</v>
      </c>
      <c r="F21" s="53" t="s">
        <v>17</v>
      </c>
    </row>
    <row r="22" customFormat="false" ht="45.75" hidden="false" customHeight="true" outlineLevel="0" collapsed="false">
      <c r="B22" s="48" t="n">
        <v>18</v>
      </c>
      <c r="C22" s="18" t="s">
        <v>445</v>
      </c>
      <c r="D22" s="19" t="s">
        <v>446</v>
      </c>
      <c r="E22" s="20" t="str">
        <f aca="false">"No. Its duration is "&amp;TEXT(Barbell_vs_Bullet!E34,"0.0")&amp;" years vs "&amp;TEXT(Barbell_vs_Bullet!F34,"0.0")&amp;" for the bullet, so it simply carries more rate risk. Compare portfolios with equal duration (and equal dollars)."</f>
        <v>No. Its duration is 16.0 years vs 10.0 for the bullet, so it simply carries more rate risk. Compare portfolios with equal duration (and equal dollars).</v>
      </c>
      <c r="F22" s="53" t="s">
        <v>15</v>
      </c>
    </row>
    <row r="23" customFormat="false" ht="45.75" hidden="false" customHeight="true" outlineLevel="0" collapsed="false">
      <c r="B23" s="48" t="n">
        <v>19</v>
      </c>
      <c r="C23" s="18" t="s">
        <v>445</v>
      </c>
      <c r="D23" s="19" t="s">
        <v>447</v>
      </c>
      <c r="E23" s="10" t="s">
        <v>448</v>
      </c>
      <c r="F23" s="53" t="s">
        <v>23</v>
      </c>
    </row>
    <row r="24" customFormat="false" ht="45.75" hidden="false" customHeight="true" outlineLevel="0" collapsed="false">
      <c r="B24" s="48" t="n">
        <v>20</v>
      </c>
      <c r="C24" s="18" t="s">
        <v>449</v>
      </c>
      <c r="D24" s="19" t="s">
        <v>450</v>
      </c>
      <c r="E24" s="10" t="s">
        <v>451</v>
      </c>
      <c r="F24" s="53" t="s">
        <v>21</v>
      </c>
    </row>
    <row r="25" customFormat="false" ht="45.75" hidden="false" customHeight="true" outlineLevel="0" collapsed="false">
      <c r="B25" s="48" t="n">
        <v>21</v>
      </c>
      <c r="C25" s="18" t="s">
        <v>449</v>
      </c>
      <c r="D25" s="19" t="s">
        <v>452</v>
      </c>
      <c r="E25" s="10" t="s">
        <v>453</v>
      </c>
      <c r="F25" s="53" t="s">
        <v>21</v>
      </c>
    </row>
    <row r="26" customFormat="false" ht="45.75" hidden="false" customHeight="true" outlineLevel="0" collapsed="false">
      <c r="B26" s="48" t="n">
        <v>22</v>
      </c>
      <c r="C26" s="18" t="s">
        <v>449</v>
      </c>
      <c r="D26" s="19" t="s">
        <v>454</v>
      </c>
      <c r="E26" s="20" t="str">
        <f aca="false">"All speculative bets go to zero: portfolio = "&amp;TEXT(Taleb_Barbell!F21,"$#,##0")&amp;" ("&amp;TEXT(Taleb_Barbell!G21,"0.0%")&amp;"), because the T-bill interest offsets part of the loss."</f>
        <v>All speculative bets go to zero: portfolio = $94,500 (-5.5%), because the T-bill interest offsets part of the loss.</v>
      </c>
      <c r="F26" s="53" t="s">
        <v>21</v>
      </c>
    </row>
    <row r="27" customFormat="false" ht="45.75" hidden="false" customHeight="true" outlineLevel="0" collapsed="false">
      <c r="B27" s="48" t="n">
        <v>23</v>
      </c>
      <c r="C27" s="18" t="s">
        <v>449</v>
      </c>
      <c r="D27" s="19" t="s">
        <v>455</v>
      </c>
      <c r="E27" s="10" t="s">
        <v>456</v>
      </c>
      <c r="F27" s="53" t="s">
        <v>21</v>
      </c>
    </row>
    <row r="28" customFormat="false" ht="45.75" hidden="false" customHeight="true" outlineLevel="0" collapsed="false">
      <c r="B28" s="48" t="n">
        <v>24</v>
      </c>
      <c r="C28" s="18" t="s">
        <v>449</v>
      </c>
      <c r="D28" s="19" t="s">
        <v>457</v>
      </c>
      <c r="E28" s="10" t="s">
        <v>458</v>
      </c>
      <c r="F28" s="53" t="s">
        <v>9</v>
      </c>
    </row>
    <row r="29" customFormat="false" ht="45.75" hidden="false" customHeight="true" outlineLevel="0" collapsed="false">
      <c r="B29" s="48" t="n">
        <v>25</v>
      </c>
      <c r="C29" s="18" t="s">
        <v>459</v>
      </c>
      <c r="D29" s="19" t="s">
        <v>460</v>
      </c>
      <c r="E29" s="10" t="s">
        <v>461</v>
      </c>
      <c r="F29" s="53" t="s">
        <v>23</v>
      </c>
    </row>
    <row r="31" customFormat="false" ht="19.5" hidden="false" customHeight="true" outlineLevel="0" collapsed="false">
      <c r="B31" s="17" t="s">
        <v>39</v>
      </c>
      <c r="C31" s="17"/>
      <c r="D31" s="17"/>
      <c r="E31" s="17"/>
      <c r="F31" s="17"/>
    </row>
  </sheetData>
  <mergeCells count="3">
    <mergeCell ref="B1:F1"/>
    <mergeCell ref="B2:F2"/>
    <mergeCell ref="B31:F31"/>
  </mergeCells>
  <hyperlinks>
    <hyperlink ref="F5" r:id="rId1" location="'Concepts'!A1" display="Concepts"/>
    <hyperlink ref="F6" r:id="rId2" location="'Concepts'!A1" display="Concepts"/>
    <hyperlink ref="F7" r:id="rId3" location="'Bond_Analytics'!A1" display="Bond_Analytics"/>
    <hyperlink ref="F8" r:id="rId4" location="'Concepts'!A1" display="Concepts"/>
    <hyperlink ref="F9" r:id="rId5" location="'Barbell_vs_Bullet'!A1" display="Barbell_vs_Bullet"/>
    <hyperlink ref="F10" r:id="rId6" location="'Scenarios'!A1" display="Scenarios"/>
    <hyperlink ref="F11" r:id="rId7" location="'Concepts'!A1" display="Concepts"/>
    <hyperlink ref="F12" r:id="rId8" location="'Barbell_vs_Bullet'!A1" display="Barbell_vs_Bullet"/>
    <hyperlink ref="F13" r:id="rId9" location="'Barbell_vs_Bullet'!A1" display="Barbell_vs_Bullet"/>
    <hyperlink ref="F14" r:id="rId10" location="'Bond_Analytics'!A1" display="Bond_Analytics"/>
    <hyperlink ref="F15" r:id="rId11" location="'Barbell_vs_Bullet'!A1" display="Barbell_vs_Bullet"/>
    <hyperlink ref="F16" r:id="rId12" location="'Shift_Curve'!A1" display="Shift_Curve"/>
    <hyperlink ref="F17" r:id="rId13" location="'Scenarios'!A1" display="Scenarios"/>
    <hyperlink ref="F18" r:id="rId14" location="'Scenarios'!A1" display="Scenarios"/>
    <hyperlink ref="F19" r:id="rId15" location="'Scenarios'!A1" display="Scenarios"/>
    <hyperlink ref="F20" r:id="rId16" location="'Scenarios'!A1" display="Scenarios"/>
    <hyperlink ref="F21" r:id="rId17" location="'Scenarios'!A1" display="Scenarios"/>
    <hyperlink ref="F22" r:id="rId18" location="'Barbell_vs_Bullet'!A1" display="Barbell_vs_Bullet"/>
    <hyperlink ref="F23" r:id="rId19" location="'Comparison'!A1" display="Comparison"/>
    <hyperlink ref="F24" r:id="rId20" location="'Taleb_Barbell'!A1" display="Taleb_Barbell"/>
    <hyperlink ref="F25" r:id="rId21" location="'Taleb_Barbell'!A1" display="Taleb_Barbell"/>
    <hyperlink ref="F26" r:id="rId22" location="'Taleb_Barbell'!A1" display="Taleb_Barbell"/>
    <hyperlink ref="F27" r:id="rId23" location="'Taleb_Barbell'!A1" display="Taleb_Barbell"/>
    <hyperlink ref="F28" r:id="rId24" location="'Concepts'!A1" display="Concepts"/>
    <hyperlink ref="F29" r:id="rId25" location="'Comparison'!A1" display="Comparison"/>
    <hyperlink ref="B31" r:id="rId26" display="Prof. V. Ravichandran  |  The Mountain Path Academy  | 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&amp;Chttps://themountainpathacademy.com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2026-11-02T23:41:39Z</dcterms:created>
  <dc:creator>openpyxl</dc:creator>
  <dc:description/>
  <dc:language>en-US</dc:language>
  <cp:lastModifiedBy/>
  <dcterms:modified xsi:type="dcterms:W3CDTF">2026-11-02T23:41:40Z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