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verview &amp; Concept" sheetId="1" state="visible" r:id="rId3"/>
    <sheet name="Caselet 1 - Single Liability" sheetId="2" state="visible" r:id="rId4"/>
    <sheet name="Caselet 2 - Rate Shock Dynamics" sheetId="3" state="visible" r:id="rId5"/>
    <sheet name="Caselet 3 - Multi-Liability" sheetId="4" state="visible" r:id="rId6"/>
    <sheet name="Caselet 4 - Non-Parallel &amp; Conv" sheetId="5" state="visible" r:id="rId7"/>
    <sheet name="Caselet 5 - Dynamic Rebalancing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<sst xmlns="http://schemas.openxmlformats.org/spreadsheetml/2006/main" count="219" uniqueCount="193">
  <si>
    <t xml:space="preserve">Duration-Based Bond Portfolio Immunization</t>
  </si>
  <si>
    <t xml:space="preserve">Excel companion to the article · five caselets with live cash-flow formulas</t>
  </si>
  <si>
    <t xml:space="preserve">Contents</t>
  </si>
  <si>
    <t xml:space="preserve">Caselet 1 - Single Liability</t>
  </si>
  <si>
    <t xml:space="preserve">Dated cash flows, calculated duration, allocation, ±200 bp terminal-wealth stress test and chart</t>
  </si>
  <si>
    <t xml:space="preserve">Caselet 2 - Rate Shock Dynamics</t>
  </si>
  <si>
    <t xml:space="preserve">Actual coupon reinvestment and fractional-horizon bond sale value (price vs reinvestment effect)</t>
  </si>
  <si>
    <t xml:space="preserve">Caselet 3 - Multi-Liability</t>
  </si>
  <si>
    <t xml:space="preserve">Composite liability PV, duration, two-zero allocation and DV01 reconciliation</t>
  </si>
  <si>
    <t xml:space="preserve">Caselet 4 - Non-Parallel &amp; Conv</t>
  </si>
  <si>
    <t xml:space="preserve">Bullet vs barbell: exact zero-coupon repricing for parallel shifts and curve twists</t>
  </si>
  <si>
    <t xml:space="preserve">Caselet 5 - Dynamic Rebalancing</t>
  </si>
  <si>
    <t xml:space="preserve">Annual market-value roll-forward, target weights and funded rebalancing trades</t>
  </si>
  <si>
    <t xml:space="preserve">Colour legend</t>
  </si>
  <si>
    <t xml:space="preserve">Yellow cell, blue text</t>
  </si>
  <si>
    <t xml:space="preserve">Input: change these values. Everything else recalculates.</t>
  </si>
  <si>
    <t xml:space="preserve">Black text</t>
  </si>
  <si>
    <t xml:space="preserve">Formula: do not overwrite.</t>
  </si>
  <si>
    <t xml:space="preserve">Navy header</t>
  </si>
  <si>
    <t xml:space="preserve">Column headings for each table.</t>
  </si>
  <si>
    <t xml:space="preserve">Key ideas and formulas</t>
  </si>
  <si>
    <t xml:space="preserve">Horizon wealth</t>
  </si>
  <si>
    <t xml:space="preserve">W_H(q) = Σ CF_t (1+q)^(H−t) = P(q) × (1+q)^H — reprice the holdings at the new yield, then grow to H</t>
  </si>
  <si>
    <t xml:space="preserve">Macaulay duration</t>
  </si>
  <si>
    <t xml:space="preserve">D_Mac = Σ t × PV(CF_t) / Price</t>
  </si>
  <si>
    <t xml:space="preserve">Modified duration</t>
  </si>
  <si>
    <t xml:space="preserve">D_Mod = D_Mac / (1 + y)</t>
  </si>
  <si>
    <t xml:space="preserve">Convexity (annual)</t>
  </si>
  <si>
    <t xml:space="preserve">C = Σ t(t+1) × PV(CF_t) / (1+y)² / Price</t>
  </si>
  <si>
    <t xml:space="preserve">Two-bond weight</t>
  </si>
  <si>
    <t xml:space="preserve">w_A = (H − D_B) / (D_A − D_B),  w_B = 1 − w_A   (market-value weights)</t>
  </si>
  <si>
    <t xml:space="preserve">DV01</t>
  </si>
  <si>
    <t xml:space="preserve">Price × D_Mod × 0.0001</t>
  </si>
  <si>
    <t xml:space="preserve">Immunization conditions</t>
  </si>
  <si>
    <t xml:space="preserve">PV assets ≥ PV liabilities · match dollar duration (DV01) · asset dollar convexity &gt; liability dollar convexity</t>
  </si>
  <si>
    <t xml:space="preserve">Common mistake</t>
  </si>
  <si>
    <t xml:space="preserve">Growing the original investment at (1 + new yield)^H ignores the immediate price change of the bonds you hold.</t>
  </si>
  <si>
    <t xml:space="preserve">Assumptions</t>
  </si>
  <si>
    <t xml:space="preserve">•</t>
  </si>
  <si>
    <t xml:space="preserve">Default-free, option-free bonds; annual coupons and annual compounding; flat yield curve unless stated.</t>
  </si>
  <si>
    <t xml:space="preserve">Yield shocks happen immediately after purchase and persist; no taxes or transaction costs.</t>
  </si>
  <si>
    <t xml:space="preserve">All figures are hypothetical teaching examples in USD, not market quotes. The same maths applies to ₹ liabilities.</t>
  </si>
  <si>
    <t xml:space="preserve">Open in desktop Excel with automatic calculation on.</t>
  </si>
  <si>
    <t xml:space="preserve">Sources</t>
  </si>
  <si>
    <t xml:space="preserve">CFA Institute — Liability-Driven and Index-Based Strategies (single and multiple liability immunization).</t>
  </si>
  <si>
    <t xml:space="preserve">M. Winkel, University of Oxford — Actuarial Science II, Chapter 8 (duration, convexity, Redington immunization).</t>
  </si>
  <si>
    <t xml:space="preserve">Article: https://themountainpathacademy.com/bond-portfolio-immunization</t>
  </si>
  <si>
    <t xml:space="preserve">Prof. V. Ravichandran · The Mountain Path Academy · https://themountainpathacademy.com</t>
  </si>
  <si>
    <t xml:space="preserve">Caselet 1: Fund a Single Liability in Five Years</t>
  </si>
  <si>
    <t xml:space="preserve">Two-bond immunization with a 3-year zero and an 8-year 6% coupon bond · stress test ±200 bp</t>
  </si>
  <si>
    <t xml:space="preserve">← Back to contents</t>
  </si>
  <si>
    <t xml:space="preserve">Inputs</t>
  </si>
  <si>
    <t xml:space="preserve">Bond B dated cash flows</t>
  </si>
  <si>
    <t xml:space="preserve">Liability horizon H (years)</t>
  </si>
  <si>
    <t xml:space="preserve">Liability amount ($)</t>
  </si>
  <si>
    <t xml:space="preserve">Flat annual yield</t>
  </si>
  <si>
    <t xml:space="preserve">Bond A: zero maturity = duration (years)</t>
  </si>
  <si>
    <t xml:space="preserve">Bond B: annual coupon rate</t>
  </si>
  <si>
    <t xml:space="preserve">Bond B: maturity (years)</t>
  </si>
  <si>
    <t xml:space="preserve">Face value per bond ($)</t>
  </si>
  <si>
    <t xml:space="preserve">Year t</t>
  </si>
  <si>
    <t xml:space="preserve">Cash flow ($)</t>
  </si>
  <si>
    <t xml:space="preserve">PV at base yield ($)</t>
  </si>
  <si>
    <t xml:space="preserve">t × PV</t>
  </si>
  <si>
    <t xml:space="preserve">t(t+1)·PV/(1+y)²</t>
  </si>
  <si>
    <t xml:space="preserve">Total</t>
  </si>
  <si>
    <t xml:space="preserve">Allocation</t>
  </si>
  <si>
    <t xml:space="preserve">Bond B price ($)</t>
  </si>
  <si>
    <t xml:space="preserve">Bond B Macaulay duration (years)</t>
  </si>
  <si>
    <t xml:space="preserve">Calculated from the dated cash flows (not hardcoded).</t>
  </si>
  <si>
    <t xml:space="preserve">Weight in Bond A: (H − D_B)/(D_A − D_B)</t>
  </si>
  <si>
    <t xml:space="preserve">Weight in Bond B: 1 − w_A</t>
  </si>
  <si>
    <t xml:space="preserve">Liability PV = funding required ($)</t>
  </si>
  <si>
    <t xml:space="preserve">Invest in Bond A ($)</t>
  </si>
  <si>
    <t xml:space="preserve">Invest in Bond B ($)</t>
  </si>
  <si>
    <t xml:space="preserve">Portfolio duration (check = H)</t>
  </si>
  <si>
    <t xml:space="preserve">Bond A price ($)</t>
  </si>
  <si>
    <t xml:space="preserve">Units of Bond A</t>
  </si>
  <si>
    <t xml:space="preserve">Units of Bond B</t>
  </si>
  <si>
    <t xml:space="preserve">Convexity of Bond A</t>
  </si>
  <si>
    <t xml:space="preserve">Convexity of Bond B</t>
  </si>
  <si>
    <t xml:space="preserve">Asset portfolio convexity</t>
  </si>
  <si>
    <t xml:space="preserve">Asset convexity &gt; liability convexity → small surplus for any parallel shock.</t>
  </si>
  <si>
    <t xml:space="preserve">Liability convexity</t>
  </si>
  <si>
    <t xml:space="preserve">Stress test: shock immediately after purchase, quantities held fixed</t>
  </si>
  <si>
    <t xml:space="preserve">Wealth at year 5 = units × bond price at the new yield × (1 + new yield)^H.  The last column shows the common wrong method for contrast.</t>
  </si>
  <si>
    <t xml:space="preserve">Shock (bp)</t>
  </si>
  <si>
    <t xml:space="preserve">New yield</t>
  </si>
  <si>
    <t xml:space="preserve">Bond A wealth at yr 5 ($)</t>
  </si>
  <si>
    <t xml:space="preserve">Bond B wealth at yr 5 ($)</t>
  </si>
  <si>
    <t xml:space="preserve">Total wealth at yr 5 ($)</t>
  </si>
  <si>
    <t xml:space="preserve">Liability ($)</t>
  </si>
  <si>
    <t xml:space="preserve">Surplus ($)</t>
  </si>
  <si>
    <t xml:space="preserve">Convexity estimate ½(C_A − C_L)Δy² × L ($)</t>
  </si>
  <si>
    <t xml:space="preserve">WRONG method: original $ × (1+q)^H − L ($)</t>
  </si>
  <si>
    <t xml:space="preserve">Bond A pays its face at year 3 and is reinvested to year 5; Bond B pays coupons before year 5 and is sold at year 5. PV(q, n, −coupon, −face) is Bond B's price at the new yield.</t>
  </si>
  <si>
    <t xml:space="preserve">Caselet 2: Separate Price and Reinvestment Effects</t>
  </si>
  <si>
    <t xml:space="preserve">7-year 8% annual-coupon bond held to its Macaulay duration · yields 7%, 8%, 9%</t>
  </si>
  <si>
    <t xml:space="preserve">Face value ($)</t>
  </si>
  <si>
    <t xml:space="preserve">Annual coupon rate</t>
  </si>
  <si>
    <t xml:space="preserve">Maturity (years)</t>
  </si>
  <si>
    <t xml:space="preserve">Base yield at purchase</t>
  </si>
  <si>
    <t xml:space="preserve">Yield shock (bp) for the down / up scenarios</t>
  </si>
  <si>
    <t xml:space="preserve">Dated cash flows and value carried to the horizon</t>
  </si>
  <si>
    <t xml:space="preserve">Scenario yield →</t>
  </si>
  <si>
    <t xml:space="preserve">Value at H: CF × (1+q)^(H−t), low yield</t>
  </si>
  <si>
    <t xml:space="preserve">Value at H, base yield</t>
  </si>
  <si>
    <t xml:space="preserve">Value at H, high yield</t>
  </si>
  <si>
    <t xml:space="preserve">Horizon</t>
  </si>
  <si>
    <t xml:space="preserve">Horizon H = Macaulay duration (years)</t>
  </si>
  <si>
    <t xml:space="preserve">Cash flows with t ≤ H are coupons received and reinvested; t &gt; H are sold at H.</t>
  </si>
  <si>
    <t xml:space="preserve">Wealth at the horizon</t>
  </si>
  <si>
    <t xml:space="preserve">Component</t>
  </si>
  <si>
    <t xml:space="preserve">Low yield</t>
  </si>
  <si>
    <t xml:space="preserve">Base yield</t>
  </si>
  <si>
    <t xml:space="preserve">High yield</t>
  </si>
  <si>
    <t xml:space="preserve">Accumulated coupons ($)</t>
  </si>
  <si>
    <t xml:space="preserve">Sale value of remaining cash flows ($)</t>
  </si>
  <si>
    <t xml:space="preserve">Total wealth ($)</t>
  </si>
  <si>
    <t xml:space="preserve">Target wealth = price × (1 + base yield)^H ($)</t>
  </si>
  <si>
    <t xml:space="preserve">Surplus over target ($)</t>
  </si>
  <si>
    <t xml:space="preserve">Reinvestment effect vs base ($)</t>
  </si>
  <si>
    <t xml:space="preserve">Price (sale value) effect vs base ($)</t>
  </si>
  <si>
    <t xml:space="preserve">When rates rise, extra coupon income roughly offsets the lower sale price; the small leftover is the convexity effect.</t>
  </si>
  <si>
    <t xml:space="preserve">Caselet 3: Immunize Multiple Liabilities</t>
  </si>
  <si>
    <t xml:space="preserve">Payments in years 2, 4 and 6 · funded with 3-year and 7-year zeros</t>
  </si>
  <si>
    <t xml:space="preserve">Short zero maturity (years)</t>
  </si>
  <si>
    <t xml:space="preserve">Long zero maturity (years)</t>
  </si>
  <si>
    <t xml:space="preserve">Payment year t</t>
  </si>
  <si>
    <t xml:space="preserve">PV at flat yield ($)</t>
  </si>
  <si>
    <t xml:space="preserve">Liability 1</t>
  </si>
  <si>
    <t xml:space="preserve">Liability 2</t>
  </si>
  <si>
    <t xml:space="preserve">Liability 3</t>
  </si>
  <si>
    <t xml:space="preserve">Allocation and DV01 check</t>
  </si>
  <si>
    <t xml:space="preserve">Total liability PV ($)</t>
  </si>
  <si>
    <t xml:space="preserve">Liability Macaulay duration (years)</t>
  </si>
  <si>
    <t xml:space="preserve">Weight in short zero</t>
  </si>
  <si>
    <t xml:space="preserve">Weight in long zero</t>
  </si>
  <si>
    <t xml:space="preserve">Invest in short zero ($)</t>
  </si>
  <si>
    <t xml:space="preserve">Invest in long zero ($)</t>
  </si>
  <si>
    <t xml:space="preserve">Asset DV01 ($ per bp)</t>
  </si>
  <si>
    <t xml:space="preserve">Liability DV01 ($ per bp)</t>
  </si>
  <si>
    <t xml:space="preserve">DV01 gap ($ per bp)</t>
  </si>
  <si>
    <t xml:space="preserve">Payment-date check</t>
  </si>
  <si>
    <t xml:space="preserve">Matching total PV and duration does not guarantee cash on each payment date — consider cash-flow matching or key-rate limits.</t>
  </si>
  <si>
    <t xml:space="preserve">Caselet 4: Bullet versus Barbell under a Curve Twist</t>
  </si>
  <si>
    <t xml:space="preserve">5-year zero bullet vs 50/50 barbell of 1-year and 9-year zeros · same duration, different curve risk</t>
  </si>
  <si>
    <t xml:space="preserve">Flat starting yield (all maturities)</t>
  </si>
  <si>
    <t xml:space="preserve">Bullet zero maturity (years)</t>
  </si>
  <si>
    <t xml:space="preserve">Barbell short zero maturity (years)</t>
  </si>
  <si>
    <t xml:space="preserve">Barbell long zero maturity (years)</t>
  </si>
  <si>
    <t xml:space="preserve">Barbell market-value weight in short zero</t>
  </si>
  <si>
    <t xml:space="preserve">Measure</t>
  </si>
  <si>
    <t xml:space="preserve">Bullet</t>
  </si>
  <si>
    <t xml:space="preserve">Barbell</t>
  </si>
  <si>
    <t xml:space="preserve">Macaulay duration (years)</t>
  </si>
  <si>
    <t xml:space="preserve">Convexity (years²)</t>
  </si>
  <si>
    <t xml:space="preserve">Zero-coupon convexity = t(t+1)/(1+y)²</t>
  </si>
  <si>
    <t xml:space="preserve">Scenarios: immediate price return, each zero repriced at its own new yield</t>
  </si>
  <si>
    <t xml:space="preserve">Scenario</t>
  </si>
  <si>
    <t xml:space="preserve">Short-zero shift (bp)</t>
  </si>
  <si>
    <t xml:space="preserve">Bullet shift (bp)</t>
  </si>
  <si>
    <t xml:space="preserve">Long-zero shift (bp)</t>
  </si>
  <si>
    <t xml:space="preserve">Bullet return</t>
  </si>
  <si>
    <t xml:space="preserve">Barbell return</t>
  </si>
  <si>
    <t xml:space="preserve">Parallel +100</t>
  </si>
  <si>
    <t xml:space="preserve">Parallel −100</t>
  </si>
  <si>
    <t xml:space="preserve">Steepening</t>
  </si>
  <si>
    <t xml:space="preserve">Flattening</t>
  </si>
  <si>
    <t xml:space="preserve">Return of a zero = (old price / new price inverted) − 1 = ((1+y)/(1+y_new))^t − 1. Higher barbell convexity helps in parallel moves but not in a steepening.</t>
  </si>
  <si>
    <t xml:space="preserve">Caselet 5: Rebalance as the Horizon Shortens</t>
  </si>
  <si>
    <t xml:space="preserve">$1,000,000 due in 5 years · 3-year and 8-year zeros · annual review and funded rebalancing</t>
  </si>
  <si>
    <t xml:space="preserve">Liability due at horizon ($)</t>
  </si>
  <si>
    <t xml:space="preserve">Horizon at start (years)</t>
  </si>
  <si>
    <t xml:space="preserve">Short zero maturity at start (years)</t>
  </si>
  <si>
    <t xml:space="preserve">Long zero maturity at start (years)</t>
  </si>
  <si>
    <t xml:space="preserve">Review year</t>
  </si>
  <si>
    <t xml:space="preserve">Yield</t>
  </si>
  <si>
    <t xml:space="preserve">Horizon remaining</t>
  </si>
  <si>
    <t xml:space="preserve">Short zero years left (0 = cash)</t>
  </si>
  <si>
    <t xml:space="preserve">Long zero years left</t>
  </si>
  <si>
    <t xml:space="preserve">Short / cash value before trade ($)</t>
  </si>
  <si>
    <t xml:space="preserve">Long value before trade ($)</t>
  </si>
  <si>
    <t xml:space="preserve">Wealth before trade ($)</t>
  </si>
  <si>
    <t xml:space="preserve">Target short / cash weight</t>
  </si>
  <si>
    <t xml:space="preserve">Short face or cash after trade ($)</t>
  </si>
  <si>
    <t xml:space="preserve">Long face after trade ($)</t>
  </si>
  <si>
    <t xml:space="preserve">Short weight = (horizon − long years left)/(short years left − long years left). After the short zero matures (years left = 0) it is held as cash earning the previous review's yield.</t>
  </si>
  <si>
    <t xml:space="preserve">Result</t>
  </si>
  <si>
    <t xml:space="preserve">Terminal wealth at year 5 ($)</t>
  </si>
  <si>
    <t xml:space="preserve">Liability paid ($)</t>
  </si>
  <si>
    <t xml:space="preserve">Terminal surplus ($)</t>
  </si>
  <si>
    <t xml:space="preserve">This is one illustrative yield path with no trading costs — a funded roll-forward, not a guarantee of surplus.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</si>
</sst>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0"/>
    <numFmt numFmtId="166" formatCode="\$#,##0.00;&quot;($&quot;#,##0.00\);\-"/>
    <numFmt numFmtId="167" formatCode="0.00%"/>
    <numFmt numFmtId="168" formatCode="#,##0.00"/>
    <numFmt numFmtId="169" formatCode="0.000000"/>
    <numFmt numFmtId="170" formatCode="0.0000%"/>
    <numFmt numFmtId="171" formatCode="#,##0.0000"/>
    <numFmt numFmtId="172" formatCode="0.0000"/>
    <numFmt numFmtId="173" formatCode="\+0;\-0;0"/>
    <numFmt numFmtId="174" formatCode="\$#,##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30"/>
      <color rgb="FFFFFFFF"/>
      <name val="Arial"/>
      <family val="0"/>
      <charset val="1"/>
    </font>
    <font>
      <i val="true"/>
      <sz val="20"/>
      <color rgb="FFFFD700"/>
      <name val="Arial"/>
      <family val="0"/>
      <charset val="1"/>
    </font>
    <font>
      <b val="true"/>
      <sz val="24"/>
      <color rgb="FF003366"/>
      <name val="Arial"/>
      <family val="0"/>
      <charset val="1"/>
    </font>
    <font>
      <b val="true"/>
      <u val="single"/>
      <sz val="22"/>
      <color rgb="FF0000FF"/>
      <name val="Arial"/>
      <family val="0"/>
      <charset val="1"/>
    </font>
    <font>
      <sz val="22"/>
      <color rgb="FF000000"/>
      <name val="Arial"/>
      <family val="0"/>
      <charset val="1"/>
    </font>
    <font>
      <sz val="22"/>
      <color rgb="FF0000FF"/>
      <name val="Arial"/>
      <family val="0"/>
      <charset val="1"/>
    </font>
    <font>
      <b val="true"/>
      <sz val="22"/>
      <color rgb="FFFFFFFF"/>
      <name val="Arial"/>
      <family val="0"/>
      <charset val="1"/>
    </font>
    <font>
      <b val="true"/>
      <sz val="22"/>
      <color rgb="FF000000"/>
      <name val="Arial"/>
      <family val="0"/>
      <charset val="1"/>
    </font>
    <font>
      <u val="single"/>
      <sz val="22"/>
      <color rgb="FF0000FF"/>
      <name val="Arial"/>
      <family val="0"/>
      <charset val="1"/>
    </font>
    <font>
      <u val="single"/>
      <sz val="16"/>
      <color rgb="FF003366"/>
      <name val="Arial"/>
      <family val="0"/>
      <charset val="1"/>
    </font>
    <font>
      <u val="single"/>
      <sz val="18"/>
      <color rgb="FF0000FF"/>
      <name val="Arial"/>
      <family val="0"/>
      <charset val="1"/>
    </font>
    <font>
      <i val="true"/>
      <sz val="18"/>
      <color rgb="FF404040"/>
      <name val="Arial"/>
      <family val="0"/>
      <charset val="1"/>
    </font>
    <font>
      <sz val="22"/>
      <color rgb="FFC00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3366"/>
        <bgColor rgb="FF004D80"/>
      </patternFill>
    </fill>
    <fill>
      <patternFill patternType="solid">
        <fgColor rgb="FFFFD700"/>
        <bgColor rgb="FFFFFF00"/>
      </patternFill>
    </fill>
    <fill>
      <patternFill patternType="solid">
        <fgColor rgb="FFFFFF00"/>
        <bgColor rgb="FFFFFF00"/>
      </patternFill>
    </fill>
    <fill>
      <patternFill patternType="solid">
        <fgColor rgb="FF004D80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892B0"/>
      </left>
      <right style="thin">
        <color rgb="FF8892B0"/>
      </right>
      <top style="thin">
        <color rgb="FF8892B0"/>
      </top>
      <bottom style="thin">
        <color rgb="FF8892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0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3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78887"/>
      <rgbColor rgb="FFC0C0C0"/>
      <rgbColor rgb="FF878787"/>
      <rgbColor rgb="FF9999FF"/>
      <rgbColor rgb="FF993366"/>
      <rgbColor rgb="FFFFFFCC"/>
      <rgbColor rgb="FFCCFFFF"/>
      <rgbColor rgb="FF660066"/>
      <rgbColor rgb="FFFF8080"/>
      <rgbColor rgb="FF004D8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700"/>
      <rgbColor rgb="FFFF9900"/>
      <rgbColor rgb="FFFF6600"/>
      <rgbColor rgb="FF666699"/>
      <rgbColor rgb="FF8892B0"/>
      <rgbColor rgb="FF003366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Surplus at year 5 after an immediate parallel shock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tx>
            <c:strRef>
              <c:f>'Caselet 1 - Single Liability'!G45</c:f>
              <c:strCache>
                <c:ptCount val="1"/>
                <c:pt idx="0">
                  <c:v>Surplus ($)</c:v>
                </c:pt>
              </c:strCache>
            </c:strRef>
          </c:tx>
          <c:spPr>
            <a:solidFill>
              <a:srgbClr val="078887"/>
            </a:solidFill>
            <a:ln w="38160">
              <a:solidFill>
                <a:srgbClr val="078887"/>
              </a:solidFill>
              <a:round/>
            </a:ln>
          </c:spPr>
          <c:marker>
            <c:symbol val="circle"/>
            <c:size val="9"/>
            <c:spPr>
              <a:solidFill>
                <a:srgbClr val="078887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'Caselet 1 - Single Liability'!$A$46:$A$54</c:f>
              <c:numCache>
                <c:formatCode>\+0;\-0;0</c:formatCode>
                <c:ptCount val="9"/>
                <c:pt idx="0">
                  <c:v>-200</c:v>
                </c:pt>
                <c:pt idx="1">
                  <c:v>-150</c:v>
                </c:pt>
                <c:pt idx="2">
                  <c:v>-100</c:v>
                </c:pt>
                <c:pt idx="3">
                  <c:v>-50</c:v>
                </c:pt>
                <c:pt idx="4">
                  <c:v>0</c:v>
                </c:pt>
                <c:pt idx="5">
                  <c:v>50</c:v>
                </c:pt>
                <c:pt idx="6">
                  <c:v>100</c:v>
                </c:pt>
                <c:pt idx="7">
                  <c:v>150</c:v>
                </c:pt>
                <c:pt idx="8">
                  <c:v>200</c:v>
                </c:pt>
              </c:numCache>
            </c:numRef>
          </c:xVal>
          <c:yVal>
            <c:numRef>
              <c:f>'Caselet 1 - Single Liability'!$G$46:$G$54</c:f>
              <c:numCache>
                <c:formatCode>\$#,##0.00;"($"#,##0.00\);\-</c:formatCode>
                <c:ptCount val="9"/>
                <c:pt idx="0">
                  <c:v>1117.2730667342</c:v>
                </c:pt>
                <c:pt idx="1">
                  <c:v>624.814778042026</c:v>
                </c:pt>
                <c:pt idx="2">
                  <c:v>276.096754704369</c:v>
                </c:pt>
                <c:pt idx="3">
                  <c:v>68.6304212943651</c:v>
                </c:pt>
                <c:pt idx="4">
                  <c:v>0</c:v>
                </c:pt>
                <c:pt idx="5">
                  <c:v>67.8601509125438</c:v>
                </c:pt>
                <c:pt idx="6">
                  <c:v>269.933699880843</c:v>
                </c:pt>
                <c:pt idx="7">
                  <c:v>604.009450270794</c:v>
                </c:pt>
                <c:pt idx="8">
                  <c:v>1067.94007518224</c:v>
                </c:pt>
              </c:numCache>
            </c:numRef>
          </c:yVal>
          <c:smooth val="1"/>
        </c:ser>
        <c:axId val="13384003"/>
        <c:axId val="54386857"/>
      </c:scatterChart>
      <c:valAx>
        <c:axId val="13384003"/>
        <c:scaling>
          <c:orientation val="minMax"/>
          <c:max val="200"/>
          <c:min val="-200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Yield shock (basis points)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+0;\-0;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4386857"/>
        <c:crosses val="autoZero"/>
        <c:crossBetween val="midCat"/>
        <c:majorUnit val="50"/>
      </c:valAx>
      <c:valAx>
        <c:axId val="54386857"/>
        <c:scaling>
          <c:orientation val="minMax"/>
          <c:max val="1200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Surplus ($)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3384003"/>
        <c:crosses val="autoZero"/>
        <c:crossBetween val="midCat"/>
        <c:majorUnit val="200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56</xdr:row>
      <xdr:rowOff>316440</xdr:rowOff>
    </xdr:from>
    <xdr:to>
      <xdr:col>2</xdr:col>
      <xdr:colOff>1747080</xdr:colOff>
      <xdr:row>67</xdr:row>
      <xdr:rowOff>235440</xdr:rowOff>
    </xdr:to>
    <xdr:graphicFrame>
      <xdr:nvGraphicFramePr>
        <xdr:cNvPr id="0" name="Chart 1"/>
        <xdr:cNvGraphicFramePr/>
      </xdr:nvGraphicFramePr>
      <xdr:xfrm>
        <a:off x="0" y="2404116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duration-based-bond-immunization-masterclass.xlsx" TargetMode="External"/><Relationship Id="rId2" Type="http://schemas.openxmlformats.org/officeDocument/2006/relationships/hyperlink" Target="duration-based-bond-immunization-masterclass.xlsx" TargetMode="External"/><Relationship Id="rId3" Type="http://schemas.openxmlformats.org/officeDocument/2006/relationships/hyperlink" Target="duration-based-bond-immunization-masterclass.xlsx" TargetMode="External"/><Relationship Id="rId4" Type="http://schemas.openxmlformats.org/officeDocument/2006/relationships/hyperlink" Target="duration-based-bond-immunization-masterclass.xlsx" TargetMode="External"/><Relationship Id="rId5" Type="http://schemas.openxmlformats.org/officeDocument/2006/relationships/hyperlink" Target="duration-based-bond-immunization-masterclass.xlsx" TargetMode="External"/><Relationship Id="rId6" Type="http://schemas.openxmlformats.org/officeDocument/2006/relationships/hyperlink" Target="https://themountainpathacademy.com/bond-portfolio-immunization" TargetMode="External"/><Relationship Id="rId7" Type="http://schemas.openxmlformats.org/officeDocument/2006/relationships/hyperlink" Target="https://themountainpathacademy.com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duration-based-bond-immunization-masterclass.xlsx" TargetMode="External"/><Relationship Id="rId2" Type="http://schemas.openxmlformats.org/officeDocument/2006/relationships/hyperlink" Target="https://themountainpathacademy.com/" TargetMode="External"/><Relationship Id="rId3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duration-based-bond-immunization-masterclass.xlsx" TargetMode="External"/><Relationship Id="rId2" Type="http://schemas.openxmlformats.org/officeDocument/2006/relationships/hyperlink" Target="https://themountainpathacademy.com/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duration-based-bond-immunization-masterclass.xlsx" TargetMode="External"/><Relationship Id="rId2" Type="http://schemas.openxmlformats.org/officeDocument/2006/relationships/hyperlink" Target="https://themountainpathacademy.com/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duration-based-bond-immunization-masterclass.xlsx" TargetMode="External"/><Relationship Id="rId2" Type="http://schemas.openxmlformats.org/officeDocument/2006/relationships/hyperlink" Target="https://themountainpathacademy.com/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duration-based-bond-immunization-masterclass.xlsx" TargetMode="External"/><Relationship Id="rId2" Type="http://schemas.openxmlformats.org/officeDocument/2006/relationships/hyperlink" Target="https://themountainpathacademy.com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38"/>
  <sheetViews>
    <sheetView showFormulas="false" showGridLines="fals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4"/>
    <col collapsed="false" customWidth="true" hidden="false" outlineLevel="0" max="2" min="2" style="0" width="150"/>
  </cols>
  <sheetData>
    <row r="1" customFormat="false" ht="48" hidden="false" customHeight="true" outlineLevel="0" collapsed="false">
      <c r="A1" s="1" t="s">
        <v>0</v>
      </c>
      <c r="B1" s="2"/>
    </row>
    <row r="2" customFormat="false" ht="33.75" hidden="false" customHeight="true" outlineLevel="0" collapsed="false">
      <c r="A2" s="3" t="s">
        <v>1</v>
      </c>
      <c r="B2" s="2"/>
    </row>
    <row r="3" customFormat="false" ht="6" hidden="false" customHeight="true" outlineLevel="0" collapsed="false">
      <c r="A3" s="4"/>
      <c r="B3" s="4"/>
    </row>
    <row r="5" customFormat="false" ht="31.5" hidden="false" customHeight="true" outlineLevel="0" collapsed="false">
      <c r="A5" s="5" t="s">
        <v>2</v>
      </c>
    </row>
    <row r="6" customFormat="false" ht="57.75" hidden="false" customHeight="true" outlineLevel="0" collapsed="false">
      <c r="A6" s="6" t="s">
        <v>3</v>
      </c>
      <c r="B6" s="7" t="s">
        <v>4</v>
      </c>
    </row>
    <row r="7" customFormat="false" ht="57.75" hidden="false" customHeight="true" outlineLevel="0" collapsed="false">
      <c r="A7" s="6" t="s">
        <v>5</v>
      </c>
      <c r="B7" s="7" t="s">
        <v>6</v>
      </c>
    </row>
    <row r="8" customFormat="false" ht="57.75" hidden="false" customHeight="true" outlineLevel="0" collapsed="false">
      <c r="A8" s="6" t="s">
        <v>7</v>
      </c>
      <c r="B8" s="7" t="s">
        <v>8</v>
      </c>
    </row>
    <row r="9" customFormat="false" ht="57.75" hidden="false" customHeight="true" outlineLevel="0" collapsed="false">
      <c r="A9" s="6" t="s">
        <v>9</v>
      </c>
      <c r="B9" s="7" t="s">
        <v>10</v>
      </c>
    </row>
    <row r="10" customFormat="false" ht="57.75" hidden="false" customHeight="true" outlineLevel="0" collapsed="false">
      <c r="A10" s="6" t="s">
        <v>11</v>
      </c>
      <c r="B10" s="7" t="s">
        <v>12</v>
      </c>
    </row>
    <row r="11" customFormat="false" ht="31.5" hidden="false" customHeight="true" outlineLevel="0" collapsed="false"/>
    <row r="12" customFormat="false" ht="31.5" hidden="false" customHeight="true" outlineLevel="0" collapsed="false">
      <c r="A12" s="5" t="s">
        <v>13</v>
      </c>
    </row>
    <row r="13" customFormat="false" ht="31.5" hidden="false" customHeight="true" outlineLevel="0" collapsed="false">
      <c r="A13" s="8" t="s">
        <v>14</v>
      </c>
      <c r="B13" s="9" t="s">
        <v>15</v>
      </c>
    </row>
    <row r="14" customFormat="false" ht="31.5" hidden="false" customHeight="true" outlineLevel="0" collapsed="false">
      <c r="A14" s="10" t="s">
        <v>16</v>
      </c>
      <c r="B14" s="9" t="s">
        <v>17</v>
      </c>
    </row>
    <row r="15" customFormat="false" ht="31.5" hidden="false" customHeight="true" outlineLevel="0" collapsed="false">
      <c r="A15" s="11" t="s">
        <v>18</v>
      </c>
      <c r="B15" s="9" t="s">
        <v>19</v>
      </c>
    </row>
    <row r="16" customFormat="false" ht="31.5" hidden="false" customHeight="true" outlineLevel="0" collapsed="false"/>
    <row r="17" customFormat="false" ht="31.5" hidden="false" customHeight="true" outlineLevel="0" collapsed="false">
      <c r="A17" s="5" t="s">
        <v>20</v>
      </c>
    </row>
    <row r="18" customFormat="false" ht="33.75" hidden="false" customHeight="true" outlineLevel="0" collapsed="false">
      <c r="A18" s="12" t="s">
        <v>21</v>
      </c>
      <c r="B18" s="13" t="s">
        <v>22</v>
      </c>
    </row>
    <row r="19" customFormat="false" ht="33.75" hidden="false" customHeight="true" outlineLevel="0" collapsed="false">
      <c r="A19" s="12" t="s">
        <v>23</v>
      </c>
      <c r="B19" s="13" t="s">
        <v>24</v>
      </c>
    </row>
    <row r="20" customFormat="false" ht="33.75" hidden="false" customHeight="true" outlineLevel="0" collapsed="false">
      <c r="A20" s="12" t="s">
        <v>25</v>
      </c>
      <c r="B20" s="13" t="s">
        <v>26</v>
      </c>
    </row>
    <row r="21" customFormat="false" ht="33.75" hidden="false" customHeight="true" outlineLevel="0" collapsed="false">
      <c r="A21" s="12" t="s">
        <v>27</v>
      </c>
      <c r="B21" s="13" t="s">
        <v>28</v>
      </c>
    </row>
    <row r="22" customFormat="false" ht="33.75" hidden="false" customHeight="true" outlineLevel="0" collapsed="false">
      <c r="A22" s="12" t="s">
        <v>29</v>
      </c>
      <c r="B22" s="13" t="s">
        <v>30</v>
      </c>
    </row>
    <row r="23" customFormat="false" ht="33.75" hidden="false" customHeight="true" outlineLevel="0" collapsed="false">
      <c r="A23" s="12" t="s">
        <v>31</v>
      </c>
      <c r="B23" s="13" t="s">
        <v>32</v>
      </c>
    </row>
    <row r="24" customFormat="false" ht="33.75" hidden="false" customHeight="true" outlineLevel="0" collapsed="false">
      <c r="A24" s="12" t="s">
        <v>33</v>
      </c>
      <c r="B24" s="13" t="s">
        <v>34</v>
      </c>
    </row>
    <row r="25" customFormat="false" ht="33.75" hidden="false" customHeight="true" outlineLevel="0" collapsed="false">
      <c r="A25" s="12" t="s">
        <v>35</v>
      </c>
      <c r="B25" s="13" t="s">
        <v>36</v>
      </c>
    </row>
    <row r="26" customFormat="false" ht="31.5" hidden="false" customHeight="true" outlineLevel="0" collapsed="false"/>
    <row r="27" customFormat="false" ht="31.5" hidden="false" customHeight="true" outlineLevel="0" collapsed="false">
      <c r="A27" s="5" t="s">
        <v>37</v>
      </c>
    </row>
    <row r="28" customFormat="false" ht="31.5" hidden="false" customHeight="true" outlineLevel="0" collapsed="false">
      <c r="A28" s="14" t="s">
        <v>38</v>
      </c>
      <c r="B28" s="9" t="s">
        <v>39</v>
      </c>
    </row>
    <row r="29" customFormat="false" ht="31.5" hidden="false" customHeight="true" outlineLevel="0" collapsed="false">
      <c r="A29" s="14" t="s">
        <v>38</v>
      </c>
      <c r="B29" s="9" t="s">
        <v>40</v>
      </c>
    </row>
    <row r="30" customFormat="false" ht="31.5" hidden="false" customHeight="true" outlineLevel="0" collapsed="false">
      <c r="A30" s="14" t="s">
        <v>38</v>
      </c>
      <c r="B30" s="9" t="s">
        <v>41</v>
      </c>
    </row>
    <row r="31" customFormat="false" ht="31.5" hidden="false" customHeight="true" outlineLevel="0" collapsed="false">
      <c r="A31" s="14" t="s">
        <v>38</v>
      </c>
      <c r="B31" s="9" t="s">
        <v>42</v>
      </c>
    </row>
    <row r="32" customFormat="false" ht="31.5" hidden="false" customHeight="true" outlineLevel="0" collapsed="false"/>
    <row r="33" customFormat="false" ht="31.5" hidden="false" customHeight="true" outlineLevel="0" collapsed="false">
      <c r="A33" s="5" t="s">
        <v>43</v>
      </c>
    </row>
    <row r="34" customFormat="false" ht="31.5" hidden="false" customHeight="true" outlineLevel="0" collapsed="false">
      <c r="B34" s="9" t="s">
        <v>44</v>
      </c>
    </row>
    <row r="35" customFormat="false" ht="31.5" hidden="false" customHeight="true" outlineLevel="0" collapsed="false">
      <c r="B35" s="9" t="s">
        <v>45</v>
      </c>
    </row>
    <row r="36" customFormat="false" ht="31.5" hidden="false" customHeight="true" outlineLevel="0" collapsed="false">
      <c r="B36" s="15" t="s">
        <v>46</v>
      </c>
    </row>
    <row r="37" customFormat="false" ht="31.5" hidden="false" customHeight="true" outlineLevel="0" collapsed="false"/>
    <row r="38" customFormat="false" ht="31.5" hidden="false" customHeight="true" outlineLevel="0" collapsed="false">
      <c r="A38" s="16" t="s">
        <v>47</v>
      </c>
    </row>
  </sheetData>
  <hyperlinks>
    <hyperlink ref="A6" r:id="rId1" location="'Caselet%201%20-%20Single%20Liability'!A1" display="Caselet 1 - Single Liability"/>
    <hyperlink ref="A7" r:id="rId2" location="'Caselet%202%20-%20Rate%20Shock%20Dynamics'!A1" display="Caselet 2 - Rate Shock Dynamics"/>
    <hyperlink ref="A8" r:id="rId3" location="'Caselet%203%20-%20Multi-Liability'!A1" display="Caselet 3 - Multi-Liability"/>
    <hyperlink ref="A9" r:id="rId4" location="'Caselet%204%20-%20Non-Parallel%20&amp;%20Conv'!A1" display="Caselet 4 - Non-Parallel &amp; Conv"/>
    <hyperlink ref="A10" r:id="rId5" location="'Caselet%205%20-%20Dynamic%20Rebalancing'!A1" display="Caselet 5 - Dynamic Rebalancing"/>
    <hyperlink ref="B36" r:id="rId6" display="Article: https://themountainpathacademy.com/bond-portfolio-immunization"/>
    <hyperlink ref="A38" r:id="rId7" display="Prof. V. Ravichandran · The Mountain Path Academy · https://themountainpathacademy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84"/>
  <sheetViews>
    <sheetView showFormulas="false" showGridLines="false" showRowColHeaders="true" showZeros="true" rightToLeft="false" tabSelected="false" showOutlineSymbols="true" defaultGridColor="true" view="normal" topLeftCell="A1" colorId="64" zoomScale="70" zoomScaleNormal="7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6"/>
    <col collapsed="false" customWidth="true" hidden="false" outlineLevel="0" max="2" min="2" style="0" width="32"/>
    <col collapsed="false" customWidth="true" hidden="false" outlineLevel="0" max="5" min="3" style="0" width="34"/>
    <col collapsed="false" customWidth="true" hidden="false" outlineLevel="0" max="7" min="6" style="0" width="32"/>
    <col collapsed="false" customWidth="true" hidden="false" outlineLevel="0" max="9" min="8" style="0" width="40"/>
  </cols>
  <sheetData>
    <row r="1" customFormat="false" ht="48" hidden="false" customHeight="true" outlineLevel="0" collapsed="false">
      <c r="A1" s="1" t="s">
        <v>48</v>
      </c>
      <c r="B1" s="2"/>
      <c r="C1" s="2"/>
      <c r="D1" s="2"/>
      <c r="E1" s="2"/>
      <c r="F1" s="2"/>
      <c r="G1" s="2"/>
      <c r="H1" s="2"/>
      <c r="I1" s="2"/>
    </row>
    <row r="2" customFormat="false" ht="33.75" hidden="false" customHeight="true" outlineLevel="0" collapsed="false">
      <c r="A2" s="3" t="s">
        <v>49</v>
      </c>
      <c r="B2" s="2"/>
      <c r="C2" s="2"/>
      <c r="D2" s="2"/>
      <c r="E2" s="2"/>
      <c r="F2" s="2"/>
      <c r="G2" s="2"/>
      <c r="H2" s="2"/>
      <c r="I2" s="2"/>
    </row>
    <row r="3" customFormat="false" ht="6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</row>
    <row r="4" customFormat="false" ht="21.6" hidden="false" customHeight="false" outlineLevel="0" collapsed="false">
      <c r="A4" s="17" t="s">
        <v>50</v>
      </c>
    </row>
    <row r="5" customFormat="false" ht="31.5" hidden="false" customHeight="true" outlineLevel="0" collapsed="false">
      <c r="A5" s="5" t="s">
        <v>51</v>
      </c>
      <c r="D5" s="5" t="s">
        <v>52</v>
      </c>
    </row>
    <row r="6" customFormat="false" ht="31.5" hidden="false" customHeight="true" outlineLevel="0" collapsed="false">
      <c r="A6" s="13" t="s">
        <v>53</v>
      </c>
      <c r="B6" s="18" t="n">
        <v>5</v>
      </c>
    </row>
    <row r="7" customFormat="false" ht="31.5" hidden="false" customHeight="true" outlineLevel="0" collapsed="false">
      <c r="A7" s="13" t="s">
        <v>54</v>
      </c>
      <c r="B7" s="19" t="n">
        <v>1000000</v>
      </c>
    </row>
    <row r="8" customFormat="false" ht="31.5" hidden="false" customHeight="true" outlineLevel="0" collapsed="false">
      <c r="A8" s="13" t="s">
        <v>55</v>
      </c>
      <c r="B8" s="20" t="n">
        <v>0.06</v>
      </c>
    </row>
    <row r="9" customFormat="false" ht="31.5" hidden="false" customHeight="true" outlineLevel="0" collapsed="false">
      <c r="A9" s="13" t="s">
        <v>56</v>
      </c>
      <c r="B9" s="18" t="n">
        <v>3</v>
      </c>
    </row>
    <row r="10" customFormat="false" ht="31.5" hidden="false" customHeight="true" outlineLevel="0" collapsed="false">
      <c r="A10" s="13" t="s">
        <v>57</v>
      </c>
      <c r="B10" s="20" t="n">
        <v>0.06</v>
      </c>
    </row>
    <row r="11" customFormat="false" ht="31.5" hidden="false" customHeight="true" outlineLevel="0" collapsed="false">
      <c r="A11" s="13" t="s">
        <v>58</v>
      </c>
      <c r="B11" s="18" t="n">
        <v>8</v>
      </c>
    </row>
    <row r="12" customFormat="false" ht="31.5" hidden="false" customHeight="true" outlineLevel="0" collapsed="false">
      <c r="A12" s="13" t="s">
        <v>59</v>
      </c>
      <c r="B12" s="19" t="n">
        <v>1000</v>
      </c>
    </row>
    <row r="13" customFormat="false" ht="31.5" hidden="false" customHeight="true" outlineLevel="0" collapsed="false"/>
    <row r="14" customFormat="false" ht="31.5" hidden="false" customHeight="true" outlineLevel="0" collapsed="false"/>
    <row r="15" customFormat="false" ht="63.75" hidden="false" customHeight="true" outlineLevel="0" collapsed="false">
      <c r="D15" s="21" t="s">
        <v>60</v>
      </c>
      <c r="E15" s="21" t="s">
        <v>61</v>
      </c>
      <c r="F15" s="21" t="s">
        <v>62</v>
      </c>
      <c r="G15" s="21" t="s">
        <v>63</v>
      </c>
      <c r="H15" s="21" t="s">
        <v>64</v>
      </c>
    </row>
    <row r="16" customFormat="false" ht="31.5" hidden="false" customHeight="true" outlineLevel="0" collapsed="false">
      <c r="D16" s="18" t="n">
        <v>1</v>
      </c>
      <c r="E16" s="22" t="n">
        <f aca="false">IF(D16&lt;$B$11,$B$12*$B$10,IF(D16=$B$11,$B$12*(1+$B$10),0))</f>
        <v>60</v>
      </c>
      <c r="F16" s="22" t="n">
        <f aca="false">E16/(1+$B$8)^D16</f>
        <v>56.6037735849057</v>
      </c>
      <c r="G16" s="23" t="n">
        <f aca="false">D16*F16</f>
        <v>56.6037735849057</v>
      </c>
      <c r="H16" s="23" t="n">
        <f aca="false">D16*(D16+1)*F16/(1+$B$8)^2</f>
        <v>100.754313963876</v>
      </c>
    </row>
    <row r="17" customFormat="false" ht="31.5" hidden="false" customHeight="true" outlineLevel="0" collapsed="false">
      <c r="D17" s="18" t="n">
        <v>2</v>
      </c>
      <c r="E17" s="22" t="n">
        <f aca="false">IF(D17&lt;$B$11,$B$12*$B$10,IF(D17=$B$11,$B$12*(1+$B$10),0))</f>
        <v>60</v>
      </c>
      <c r="F17" s="22" t="n">
        <f aca="false">E17/(1+$B$8)^D17</f>
        <v>53.3997864008544</v>
      </c>
      <c r="G17" s="23" t="n">
        <f aca="false">D17*F17</f>
        <v>106.799572801709</v>
      </c>
      <c r="H17" s="23" t="n">
        <f aca="false">D17*(D17+1)*F17/(1+$B$8)^2</f>
        <v>285.153718765687</v>
      </c>
    </row>
    <row r="18" customFormat="false" ht="31.5" hidden="false" customHeight="true" outlineLevel="0" collapsed="false">
      <c r="D18" s="18" t="n">
        <v>3</v>
      </c>
      <c r="E18" s="22" t="n">
        <f aca="false">IF(D18&lt;$B$11,$B$12*$B$10,IF(D18=$B$11,$B$12*(1+$B$10),0))</f>
        <v>60</v>
      </c>
      <c r="F18" s="22" t="n">
        <f aca="false">E18/(1+$B$8)^D18</f>
        <v>50.3771569819381</v>
      </c>
      <c r="G18" s="23" t="n">
        <f aca="false">D18*F18</f>
        <v>151.131470945814</v>
      </c>
      <c r="H18" s="23" t="n">
        <f aca="false">D18*(D18+1)*F18/(1+$B$8)^2</f>
        <v>538.025884463561</v>
      </c>
    </row>
    <row r="19" customFormat="false" ht="31.5" hidden="false" customHeight="true" outlineLevel="0" collapsed="false">
      <c r="D19" s="18" t="n">
        <v>4</v>
      </c>
      <c r="E19" s="22" t="n">
        <f aca="false">IF(D19&lt;$B$11,$B$12*$B$10,IF(D19=$B$11,$B$12*(1+$B$10),0))</f>
        <v>60</v>
      </c>
      <c r="F19" s="22" t="n">
        <f aca="false">E19/(1+$B$8)^D19</f>
        <v>47.5256197942812</v>
      </c>
      <c r="G19" s="23" t="n">
        <f aca="false">D19*F19</f>
        <v>190.102479177125</v>
      </c>
      <c r="H19" s="23" t="n">
        <f aca="false">D19*(D19+1)*F19/(1+$B$8)^2</f>
        <v>845.952648527612</v>
      </c>
    </row>
    <row r="20" customFormat="false" ht="31.5" hidden="false" customHeight="true" outlineLevel="0" collapsed="false">
      <c r="D20" s="18" t="n">
        <v>5</v>
      </c>
      <c r="E20" s="22" t="n">
        <f aca="false">IF(D20&lt;$B$11,$B$12*$B$10,IF(D20=$B$11,$B$12*(1+$B$10),0))</f>
        <v>60</v>
      </c>
      <c r="F20" s="22" t="n">
        <f aca="false">E20/(1+$B$8)^D20</f>
        <v>44.8354903719634</v>
      </c>
      <c r="G20" s="23" t="n">
        <f aca="false">D20*F20</f>
        <v>224.177451859817</v>
      </c>
      <c r="H20" s="23" t="n">
        <f aca="false">D20*(D20+1)*F20/(1+$B$8)^2</f>
        <v>1197.10280452021</v>
      </c>
    </row>
    <row r="21" customFormat="false" ht="31.5" hidden="false" customHeight="true" outlineLevel="0" collapsed="false">
      <c r="D21" s="18" t="n">
        <v>6</v>
      </c>
      <c r="E21" s="22" t="n">
        <f aca="false">IF(D21&lt;$B$11,$B$12*$B$10,IF(D21=$B$11,$B$12*(1+$B$10),0))</f>
        <v>60</v>
      </c>
      <c r="F21" s="22" t="n">
        <f aca="false">E21/(1+$B$8)^D21</f>
        <v>42.2976324263806</v>
      </c>
      <c r="G21" s="23" t="n">
        <f aca="false">D21*F21</f>
        <v>253.785794558284</v>
      </c>
      <c r="H21" s="23" t="n">
        <f aca="false">D21*(D21+1)*F21/(1+$B$8)^2</f>
        <v>1581.0791757814</v>
      </c>
    </row>
    <row r="22" customFormat="false" ht="31.5" hidden="false" customHeight="true" outlineLevel="0" collapsed="false">
      <c r="D22" s="18" t="n">
        <v>7</v>
      </c>
      <c r="E22" s="22" t="n">
        <f aca="false">IF(D22&lt;$B$11,$B$12*$B$10,IF(D22=$B$11,$B$12*(1+$B$10),0))</f>
        <v>60</v>
      </c>
      <c r="F22" s="22" t="n">
        <f aca="false">E22/(1+$B$8)^D22</f>
        <v>39.9034268173402</v>
      </c>
      <c r="G22" s="23" t="n">
        <f aca="false">D22*F22</f>
        <v>279.323987721381</v>
      </c>
      <c r="H22" s="23" t="n">
        <f aca="false">D22*(D22+1)*F22/(1+$B$8)^2</f>
        <v>1988.77883746088</v>
      </c>
    </row>
    <row r="23" customFormat="false" ht="31.5" hidden="false" customHeight="true" outlineLevel="0" collapsed="false">
      <c r="D23" s="18" t="n">
        <v>8</v>
      </c>
      <c r="E23" s="22" t="n">
        <f aca="false">IF(D23&lt;$B$11,$B$12*$B$10,IF(D23=$B$11,$B$12*(1+$B$10),0))</f>
        <v>1060</v>
      </c>
      <c r="F23" s="22" t="n">
        <f aca="false">E23/(1+$B$8)^D23</f>
        <v>665.057113622336</v>
      </c>
      <c r="G23" s="23" t="n">
        <f aca="false">D23*F23</f>
        <v>5320.45690897869</v>
      </c>
      <c r="H23" s="23" t="n">
        <f aca="false">D23*(D23+1)*F23/(1+$B$8)^2</f>
        <v>42616.6893741618</v>
      </c>
    </row>
    <row r="24" customFormat="false" ht="31.5" hidden="false" customHeight="true" outlineLevel="0" collapsed="false">
      <c r="D24" s="12" t="s">
        <v>65</v>
      </c>
      <c r="F24" s="24" t="n">
        <f aca="false">SUM(F16:F23)</f>
        <v>1000</v>
      </c>
      <c r="G24" s="25" t="n">
        <f aca="false">SUM(G16:G23)</f>
        <v>6582.38143962773</v>
      </c>
      <c r="H24" s="25" t="n">
        <f aca="false">SUM(H16:H23)</f>
        <v>49153.536757645</v>
      </c>
    </row>
    <row r="25" customFormat="false" ht="31.5" hidden="false" customHeight="true" outlineLevel="0" collapsed="false"/>
    <row r="26" customFormat="false" ht="31.5" hidden="false" customHeight="true" outlineLevel="0" collapsed="false">
      <c r="A26" s="5" t="s">
        <v>66</v>
      </c>
    </row>
    <row r="27" customFormat="false" ht="31.5" hidden="false" customHeight="true" outlineLevel="0" collapsed="false">
      <c r="A27" s="13" t="s">
        <v>67</v>
      </c>
      <c r="B27" s="22" t="n">
        <f aca="false">SUM(F16:F23)</f>
        <v>1000</v>
      </c>
    </row>
    <row r="28" customFormat="false" ht="31.5" hidden="false" customHeight="true" outlineLevel="0" collapsed="false">
      <c r="A28" s="13" t="s">
        <v>68</v>
      </c>
      <c r="B28" s="26" t="n">
        <f aca="false">SUM(G16:G23)/B27</f>
        <v>6.58238143962773</v>
      </c>
      <c r="C28" s="27" t="s">
        <v>69</v>
      </c>
    </row>
    <row r="29" customFormat="false" ht="31.5" hidden="false" customHeight="true" outlineLevel="0" collapsed="false">
      <c r="A29" s="13" t="s">
        <v>70</v>
      </c>
      <c r="B29" s="28" t="n">
        <f aca="false">(B6-B28)/(B9-B28)</f>
        <v>0.441712158879475</v>
      </c>
    </row>
    <row r="30" customFormat="false" ht="31.5" hidden="false" customHeight="true" outlineLevel="0" collapsed="false">
      <c r="A30" s="13" t="s">
        <v>71</v>
      </c>
      <c r="B30" s="29" t="n">
        <f aca="false">1-B29</f>
        <v>0.558287841120525</v>
      </c>
    </row>
    <row r="31" customFormat="false" ht="31.5" hidden="false" customHeight="true" outlineLevel="0" collapsed="false">
      <c r="A31" s="13" t="s">
        <v>72</v>
      </c>
      <c r="B31" s="24" t="n">
        <f aca="false">B7/(1+B8)^B6</f>
        <v>747258.172866057</v>
      </c>
    </row>
    <row r="32" customFormat="false" ht="31.5" hidden="false" customHeight="true" outlineLevel="0" collapsed="false">
      <c r="A32" s="13" t="s">
        <v>73</v>
      </c>
      <c r="B32" s="22" t="n">
        <f aca="false">B31*B29</f>
        <v>330073.020776998</v>
      </c>
    </row>
    <row r="33" customFormat="false" ht="31.5" hidden="false" customHeight="true" outlineLevel="0" collapsed="false">
      <c r="A33" s="13" t="s">
        <v>74</v>
      </c>
      <c r="B33" s="22" t="n">
        <f aca="false">B31*B30</f>
        <v>417185.152089059</v>
      </c>
    </row>
    <row r="34" customFormat="false" ht="31.5" hidden="false" customHeight="true" outlineLevel="0" collapsed="false">
      <c r="A34" s="13" t="s">
        <v>75</v>
      </c>
      <c r="B34" s="26" t="n">
        <f aca="false">B29*B9+B30*B28</f>
        <v>5</v>
      </c>
    </row>
    <row r="35" customFormat="false" ht="31.5" hidden="false" customHeight="true" outlineLevel="0" collapsed="false">
      <c r="A35" s="13" t="s">
        <v>76</v>
      </c>
      <c r="B35" s="22" t="n">
        <f aca="false">B12/(1+B8)^B9</f>
        <v>839.619283032302</v>
      </c>
    </row>
    <row r="36" customFormat="false" ht="31.5" hidden="false" customHeight="true" outlineLevel="0" collapsed="false">
      <c r="A36" s="13" t="s">
        <v>77</v>
      </c>
      <c r="B36" s="30" t="n">
        <f aca="false">B32/B35</f>
        <v>393.122248913737</v>
      </c>
    </row>
    <row r="37" customFormat="false" ht="31.5" hidden="false" customHeight="true" outlineLevel="0" collapsed="false">
      <c r="A37" s="13" t="s">
        <v>78</v>
      </c>
      <c r="B37" s="30" t="n">
        <f aca="false">B33/B27</f>
        <v>417.185152089059</v>
      </c>
    </row>
    <row r="38" customFormat="false" ht="31.5" hidden="false" customHeight="true" outlineLevel="0" collapsed="false">
      <c r="A38" s="13" t="s">
        <v>79</v>
      </c>
      <c r="B38" s="31" t="n">
        <f aca="false">B9*(B9+1)/(1+B8)^2</f>
        <v>10.6799572801709</v>
      </c>
    </row>
    <row r="39" customFormat="false" ht="31.5" hidden="false" customHeight="true" outlineLevel="0" collapsed="false">
      <c r="A39" s="13" t="s">
        <v>80</v>
      </c>
      <c r="B39" s="31" t="n">
        <f aca="false">SUM(H16:H23)/B27</f>
        <v>49.153536757645</v>
      </c>
    </row>
    <row r="40" customFormat="false" ht="31.5" hidden="false" customHeight="true" outlineLevel="0" collapsed="false">
      <c r="A40" s="13" t="s">
        <v>81</v>
      </c>
      <c r="B40" s="31" t="n">
        <f aca="false">B29*B38+B30*B39</f>
        <v>32.1592889068288</v>
      </c>
      <c r="C40" s="27" t="s">
        <v>82</v>
      </c>
    </row>
    <row r="41" customFormat="false" ht="31.5" hidden="false" customHeight="true" outlineLevel="0" collapsed="false">
      <c r="A41" s="13" t="s">
        <v>83</v>
      </c>
      <c r="B41" s="31" t="n">
        <f aca="false">B6*(B6+1)/(1+B8)^2</f>
        <v>26.6998932004272</v>
      </c>
    </row>
    <row r="42" customFormat="false" ht="31.5" hidden="false" customHeight="true" outlineLevel="0" collapsed="false"/>
    <row r="43" customFormat="false" ht="31.5" hidden="false" customHeight="true" outlineLevel="0" collapsed="false">
      <c r="A43" s="5" t="s">
        <v>84</v>
      </c>
    </row>
    <row r="44" customFormat="false" ht="31.5" hidden="false" customHeight="true" outlineLevel="0" collapsed="false">
      <c r="A44" s="27" t="s">
        <v>85</v>
      </c>
    </row>
    <row r="45" customFormat="false" ht="120" hidden="false" customHeight="true" outlineLevel="0" collapsed="false">
      <c r="A45" s="21" t="s">
        <v>86</v>
      </c>
      <c r="B45" s="21" t="s">
        <v>87</v>
      </c>
      <c r="C45" s="21" t="s">
        <v>88</v>
      </c>
      <c r="D45" s="21" t="s">
        <v>89</v>
      </c>
      <c r="E45" s="21" t="s">
        <v>90</v>
      </c>
      <c r="F45" s="21" t="s">
        <v>91</v>
      </c>
      <c r="G45" s="21" t="s">
        <v>92</v>
      </c>
      <c r="H45" s="21" t="s">
        <v>93</v>
      </c>
      <c r="I45" s="21" t="s">
        <v>94</v>
      </c>
    </row>
    <row r="46" customFormat="false" ht="31.5" hidden="false" customHeight="true" outlineLevel="0" collapsed="false">
      <c r="A46" s="32" t="n">
        <v>-200</v>
      </c>
      <c r="B46" s="33" t="n">
        <f aca="false">$B$8+A46/10000</f>
        <v>0.04</v>
      </c>
      <c r="C46" s="22" t="n">
        <f aca="false">$B$36*$B$12/(1+B46)^$B$9*(1+B46)^$B$6</f>
        <v>425201.024425098</v>
      </c>
      <c r="D46" s="22" t="n">
        <f aca="false">$B$37*PV(B46,$B$11,-$B$12*$B$10,-$B$12)*(1+B46)^$B$6</f>
        <v>575916.248641636</v>
      </c>
      <c r="E46" s="22" t="n">
        <f aca="false">C46+D46</f>
        <v>1001117.27306673</v>
      </c>
      <c r="F46" s="22" t="n">
        <f aca="false">$B$7</f>
        <v>1000000</v>
      </c>
      <c r="G46" s="24" t="n">
        <f aca="false">E46-F46</f>
        <v>1117.2730667342</v>
      </c>
      <c r="H46" s="22" t="n">
        <f aca="false">0.5*($B$40-$B$41)*(A46/10000)^2*$B$7</f>
        <v>1091.87914128033</v>
      </c>
      <c r="I46" s="34" t="n">
        <f aca="false">$B$31*(1+B46)^$B$6-$B$7</f>
        <v>-90846.1751403908</v>
      </c>
    </row>
    <row r="47" customFormat="false" ht="31.5" hidden="false" customHeight="true" outlineLevel="0" collapsed="false">
      <c r="A47" s="32" t="n">
        <v>-150</v>
      </c>
      <c r="B47" s="33" t="n">
        <f aca="false">$B$8+A47/10000</f>
        <v>0.045</v>
      </c>
      <c r="C47" s="22" t="n">
        <f aca="false">$B$36*$B$12/(1+B47)^$B$9*(1+B47)^$B$6</f>
        <v>429299.323870024</v>
      </c>
      <c r="D47" s="22" t="n">
        <f aca="false">$B$37*PV(B47,$B$11,-$B$12*$B$10,-$B$12)*(1+B47)^$B$6</f>
        <v>571325.490908018</v>
      </c>
      <c r="E47" s="22" t="n">
        <f aca="false">C47+D47</f>
        <v>1000624.81477804</v>
      </c>
      <c r="F47" s="22" t="n">
        <f aca="false">$B$7</f>
        <v>1000000</v>
      </c>
      <c r="G47" s="24" t="n">
        <f aca="false">E47-F47</f>
        <v>624.814778042026</v>
      </c>
      <c r="H47" s="22" t="n">
        <f aca="false">0.5*($B$40-$B$41)*(A47/10000)^2*$B$7</f>
        <v>614.182016970185</v>
      </c>
      <c r="I47" s="34" t="n">
        <f aca="false">$B$31*(1+B47)^$B$6-$B$7</f>
        <v>-68780.3622106435</v>
      </c>
    </row>
    <row r="48" customFormat="false" ht="31.5" hidden="false" customHeight="true" outlineLevel="0" collapsed="false">
      <c r="A48" s="32" t="n">
        <v>-100</v>
      </c>
      <c r="B48" s="33" t="n">
        <f aca="false">$B$8+A48/10000</f>
        <v>0.05</v>
      </c>
      <c r="C48" s="22" t="n">
        <f aca="false">$B$36*$B$12/(1+B48)^$B$9*(1+B48)^$B$6</f>
        <v>433417.279427396</v>
      </c>
      <c r="D48" s="22" t="n">
        <f aca="false">$B$37*PV(B48,$B$11,-$B$12*$B$10,-$B$12)*(1+B48)^$B$6</f>
        <v>566858.817327309</v>
      </c>
      <c r="E48" s="22" t="n">
        <f aca="false">C48+D48</f>
        <v>1000276.0967547</v>
      </c>
      <c r="F48" s="22" t="n">
        <f aca="false">$B$7</f>
        <v>1000000</v>
      </c>
      <c r="G48" s="24" t="n">
        <f aca="false">E48-F48</f>
        <v>276.096754704369</v>
      </c>
      <c r="H48" s="22" t="n">
        <f aca="false">0.5*($B$40-$B$41)*(A48/10000)^2*$B$7</f>
        <v>272.969785320082</v>
      </c>
      <c r="I48" s="34" t="n">
        <f aca="false">$B$31*(1+B48)^$B$6-$B$7</f>
        <v>-46288.1715436134</v>
      </c>
    </row>
    <row r="49" customFormat="false" ht="31.5" hidden="false" customHeight="true" outlineLevel="0" collapsed="false">
      <c r="A49" s="32" t="n">
        <v>-50</v>
      </c>
      <c r="B49" s="33" t="n">
        <f aca="false">$B$8+A49/10000</f>
        <v>0.055</v>
      </c>
      <c r="C49" s="22" t="n">
        <f aca="false">$B$36*$B$12/(1+B49)^$B$9*(1+B49)^$B$6</f>
        <v>437554.891097213</v>
      </c>
      <c r="D49" s="22" t="n">
        <f aca="false">$B$37*PV(B49,$B$11,-$B$12*$B$10,-$B$12)*(1+B49)^$B$6</f>
        <v>562513.739324082</v>
      </c>
      <c r="E49" s="22" t="n">
        <f aca="false">C49+D49</f>
        <v>1000068.63042129</v>
      </c>
      <c r="F49" s="22" t="n">
        <f aca="false">$B$7</f>
        <v>1000000</v>
      </c>
      <c r="G49" s="24" t="n">
        <f aca="false">E49-F49</f>
        <v>68.6304212943651</v>
      </c>
      <c r="H49" s="22" t="n">
        <f aca="false">0.5*($B$40-$B$41)*(A49/10000)^2*$B$7</f>
        <v>68.2424463300206</v>
      </c>
      <c r="I49" s="34" t="n">
        <f aca="false">$B$31*(1+B49)^$B$6-$B$7</f>
        <v>-23363.4536015205</v>
      </c>
    </row>
    <row r="50" customFormat="false" ht="31.5" hidden="false" customHeight="true" outlineLevel="0" collapsed="false">
      <c r="A50" s="32" t="n">
        <v>0</v>
      </c>
      <c r="B50" s="33" t="n">
        <f aca="false">$B$8+A50/10000</f>
        <v>0.06</v>
      </c>
      <c r="C50" s="22" t="n">
        <f aca="false">$B$36*$B$12/(1+B50)^$B$9*(1+B50)^$B$6</f>
        <v>441712.158879475</v>
      </c>
      <c r="D50" s="22" t="n">
        <f aca="false">$B$37*PV(B50,$B$11,-$B$12*$B$10,-$B$12)*(1+B50)^$B$6</f>
        <v>558287.841120525</v>
      </c>
      <c r="E50" s="22" t="n">
        <f aca="false">C50+D50</f>
        <v>1000000</v>
      </c>
      <c r="F50" s="22" t="n">
        <f aca="false">$B$7</f>
        <v>1000000</v>
      </c>
      <c r="G50" s="24" t="n">
        <f aca="false">E50-F50</f>
        <v>0</v>
      </c>
      <c r="H50" s="22" t="n">
        <f aca="false">0.5*($B$40-$B$41)*(A50/10000)^2*$B$7</f>
        <v>0</v>
      </c>
      <c r="I50" s="34" t="n">
        <f aca="false">$B$31*(1+B50)^$B$6-$B$7</f>
        <v>0</v>
      </c>
    </row>
    <row r="51" customFormat="false" ht="31.5" hidden="false" customHeight="true" outlineLevel="0" collapsed="false">
      <c r="A51" s="32" t="n">
        <v>50</v>
      </c>
      <c r="B51" s="33" t="n">
        <f aca="false">$B$8+A51/10000</f>
        <v>0.065</v>
      </c>
      <c r="C51" s="22" t="n">
        <f aca="false">$B$36*$B$12/(1+B51)^$B$9*(1+B51)^$B$6</f>
        <v>445889.082774184</v>
      </c>
      <c r="D51" s="22" t="n">
        <f aca="false">$B$37*PV(B51,$B$11,-$B$12*$B$10,-$B$12)*(1+B51)^$B$6</f>
        <v>554178.777376729</v>
      </c>
      <c r="E51" s="22" t="n">
        <f aca="false">C51+D51</f>
        <v>1000067.86015091</v>
      </c>
      <c r="F51" s="22" t="n">
        <f aca="false">$B$7</f>
        <v>1000000</v>
      </c>
      <c r="G51" s="24" t="n">
        <f aca="false">E51-F51</f>
        <v>67.8601509125438</v>
      </c>
      <c r="H51" s="22" t="n">
        <f aca="false">0.5*($B$40-$B$41)*(A51/10000)^2*$B$7</f>
        <v>68.2424463300206</v>
      </c>
      <c r="I51" s="34" t="n">
        <f aca="false">$B$31*(1+B51)^$B$6-$B$7</f>
        <v>23808.4567721121</v>
      </c>
    </row>
    <row r="52" customFormat="false" ht="31.5" hidden="false" customHeight="true" outlineLevel="0" collapsed="false">
      <c r="A52" s="32" t="n">
        <v>100</v>
      </c>
      <c r="B52" s="33" t="n">
        <f aca="false">$B$8+A52/10000</f>
        <v>0.07</v>
      </c>
      <c r="C52" s="22" t="n">
        <f aca="false">$B$36*$B$12/(1+B52)^$B$9*(1+B52)^$B$6</f>
        <v>450085.662781338</v>
      </c>
      <c r="D52" s="22" t="n">
        <f aca="false">$B$37*PV(B52,$B$11,-$B$12*$B$10,-$B$12)*(1+B52)^$B$6</f>
        <v>550184.270918543</v>
      </c>
      <c r="E52" s="22" t="n">
        <f aca="false">C52+D52</f>
        <v>1000269.93369988</v>
      </c>
      <c r="F52" s="22" t="n">
        <f aca="false">$B$7</f>
        <v>1000000</v>
      </c>
      <c r="G52" s="24" t="n">
        <f aca="false">E52-F52</f>
        <v>269.933699880843</v>
      </c>
      <c r="H52" s="22" t="n">
        <f aca="false">0.5*($B$40-$B$41)*(A52/10000)^2*$B$7</f>
        <v>272.969785320082</v>
      </c>
      <c r="I52" s="34" t="n">
        <f aca="false">$B$31*(1+B52)^$B$6-$B$7</f>
        <v>48068.2436330083</v>
      </c>
    </row>
    <row r="53" customFormat="false" ht="31.5" hidden="false" customHeight="true" outlineLevel="0" collapsed="false">
      <c r="A53" s="32" t="n">
        <v>150</v>
      </c>
      <c r="B53" s="33" t="n">
        <f aca="false">$B$8+A53/10000</f>
        <v>0.075</v>
      </c>
      <c r="C53" s="22" t="n">
        <f aca="false">$B$36*$B$12/(1+B53)^$B$9*(1+B53)^$B$6</f>
        <v>454301.898900938</v>
      </c>
      <c r="D53" s="22" t="n">
        <f aca="false">$B$37*PV(B53,$B$11,-$B$12*$B$10,-$B$12)*(1+B53)^$B$6</f>
        <v>546302.110549333</v>
      </c>
      <c r="E53" s="22" t="n">
        <f aca="false">C53+D53</f>
        <v>1000604.00945027</v>
      </c>
      <c r="F53" s="22" t="n">
        <f aca="false">$B$7</f>
        <v>1000000</v>
      </c>
      <c r="G53" s="24" t="n">
        <f aca="false">E53-F53</f>
        <v>604.009450270794</v>
      </c>
      <c r="H53" s="22" t="n">
        <f aca="false">0.5*($B$40-$B$41)*(A53/10000)^2*$B$7</f>
        <v>614.182016970185</v>
      </c>
      <c r="I53" s="34" t="n">
        <f aca="false">$B$31*(1+B53)^$B$6-$B$7</f>
        <v>72785.7471881236</v>
      </c>
    </row>
    <row r="54" customFormat="false" ht="31.5" hidden="false" customHeight="true" outlineLevel="0" collapsed="false">
      <c r="A54" s="32" t="n">
        <v>200</v>
      </c>
      <c r="B54" s="33" t="n">
        <f aca="false">$B$8+A54/10000</f>
        <v>0.08</v>
      </c>
      <c r="C54" s="22" t="n">
        <f aca="false">$B$36*$B$12/(1+B54)^$B$9*(1+B54)^$B$6</f>
        <v>458537.791132983</v>
      </c>
      <c r="D54" s="22" t="n">
        <f aca="false">$B$37*PV(B54,$B$11,-$B$12*$B$10,-$B$12)*(1+B54)^$B$6</f>
        <v>542530.148942199</v>
      </c>
      <c r="E54" s="22" t="n">
        <f aca="false">C54+D54</f>
        <v>1001067.94007518</v>
      </c>
      <c r="F54" s="22" t="n">
        <f aca="false">$B$7</f>
        <v>1000000</v>
      </c>
      <c r="G54" s="24" t="n">
        <f aca="false">E54-F54</f>
        <v>1067.94007518224</v>
      </c>
      <c r="H54" s="22" t="n">
        <f aca="false">0.5*($B$40-$B$41)*(A54/10000)^2*$B$7</f>
        <v>1091.87914128033</v>
      </c>
      <c r="I54" s="34" t="n">
        <f aca="false">$B$31*(1+B54)^$B$6-$B$7</f>
        <v>97967.414010366</v>
      </c>
    </row>
    <row r="55" customFormat="false" ht="31.5" hidden="false" customHeight="true" outlineLevel="0" collapsed="false"/>
    <row r="56" customFormat="false" ht="31.5" hidden="false" customHeight="true" outlineLevel="0" collapsed="false">
      <c r="A56" s="27" t="s">
        <v>95</v>
      </c>
    </row>
    <row r="57" customFormat="false" ht="31.5" hidden="false" customHeight="true" outlineLevel="0" collapsed="false"/>
    <row r="58" customFormat="false" ht="31.5" hidden="false" customHeight="true" outlineLevel="0" collapsed="false"/>
    <row r="59" customFormat="false" ht="31.5" hidden="false" customHeight="true" outlineLevel="0" collapsed="false"/>
    <row r="60" customFormat="false" ht="31.5" hidden="false" customHeight="true" outlineLevel="0" collapsed="false"/>
    <row r="61" customFormat="false" ht="31.5" hidden="false" customHeight="true" outlineLevel="0" collapsed="false"/>
    <row r="62" customFormat="false" ht="31.5" hidden="false" customHeight="true" outlineLevel="0" collapsed="false"/>
    <row r="63" customFormat="false" ht="31.5" hidden="false" customHeight="true" outlineLevel="0" collapsed="false"/>
    <row r="64" customFormat="false" ht="31.5" hidden="false" customHeight="true" outlineLevel="0" collapsed="false"/>
    <row r="65" customFormat="false" ht="31.5" hidden="false" customHeight="true" outlineLevel="0" collapsed="false"/>
    <row r="66" customFormat="false" ht="31.5" hidden="false" customHeight="true" outlineLevel="0" collapsed="false"/>
    <row r="67" customFormat="false" ht="31.5" hidden="false" customHeight="true" outlineLevel="0" collapsed="false"/>
    <row r="68" customFormat="false" ht="31.5" hidden="false" customHeight="true" outlineLevel="0" collapsed="false"/>
    <row r="69" customFormat="false" ht="31.5" hidden="false" customHeight="true" outlineLevel="0" collapsed="false"/>
    <row r="70" customFormat="false" ht="31.5" hidden="false" customHeight="true" outlineLevel="0" collapsed="false"/>
    <row r="71" customFormat="false" ht="31.5" hidden="false" customHeight="true" outlineLevel="0" collapsed="false"/>
    <row r="72" customFormat="false" ht="31.5" hidden="false" customHeight="true" outlineLevel="0" collapsed="false"/>
    <row r="73" customFormat="false" ht="31.5" hidden="false" customHeight="true" outlineLevel="0" collapsed="false"/>
    <row r="74" customFormat="false" ht="31.5" hidden="false" customHeight="true" outlineLevel="0" collapsed="false"/>
    <row r="75" customFormat="false" ht="31.5" hidden="false" customHeight="true" outlineLevel="0" collapsed="false"/>
    <row r="76" customFormat="false" ht="31.5" hidden="false" customHeight="true" outlineLevel="0" collapsed="false"/>
    <row r="77" customFormat="false" ht="31.5" hidden="false" customHeight="true" outlineLevel="0" collapsed="false"/>
    <row r="78" customFormat="false" ht="31.5" hidden="false" customHeight="true" outlineLevel="0" collapsed="false"/>
    <row r="79" customFormat="false" ht="31.5" hidden="false" customHeight="true" outlineLevel="0" collapsed="false"/>
    <row r="80" customFormat="false" ht="31.5" hidden="false" customHeight="true" outlineLevel="0" collapsed="false"/>
    <row r="81" customFormat="false" ht="31.5" hidden="false" customHeight="true" outlineLevel="0" collapsed="false"/>
    <row r="82" customFormat="false" ht="31.5" hidden="false" customHeight="true" outlineLevel="0" collapsed="false"/>
    <row r="83" customFormat="false" ht="31.5" hidden="false" customHeight="true" outlineLevel="0" collapsed="false"/>
    <row r="84" customFormat="false" ht="31.5" hidden="false" customHeight="true" outlineLevel="0" collapsed="false">
      <c r="A84" s="16" t="s">
        <v>47</v>
      </c>
    </row>
  </sheetData>
  <hyperlinks>
    <hyperlink ref="A4" r:id="rId1" location="'Overview%20&amp;%20Concept'!A1" display="← Back to contents"/>
    <hyperlink ref="A84" r:id="rId2" display="Prof. V. Ravichandran · The Mountain Path Academy · 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&amp;CProf. V. Ravichandran · The Mountain Path Academy · https://themountainpathacademy.com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9"/>
  <sheetViews>
    <sheetView showFormulas="false" showGridLines="false" showRowColHeaders="true" showZeros="true" rightToLeft="false" tabSelected="false" showOutlineSymbols="true" defaultGridColor="true" view="normal" topLeftCell="A1" colorId="64" zoomScale="70" zoomScaleNormal="7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4"/>
    <col collapsed="false" customWidth="true" hidden="false" outlineLevel="0" max="4" min="2" style="0" width="30"/>
    <col collapsed="false" customWidth="true" hidden="false" outlineLevel="0" max="7" min="5" style="0" width="36"/>
  </cols>
  <sheetData>
    <row r="1" customFormat="false" ht="48" hidden="false" customHeight="true" outlineLevel="0" collapsed="false">
      <c r="A1" s="1" t="s">
        <v>96</v>
      </c>
      <c r="B1" s="2"/>
      <c r="C1" s="2"/>
      <c r="D1" s="2"/>
      <c r="E1" s="2"/>
      <c r="F1" s="2"/>
      <c r="G1" s="2"/>
    </row>
    <row r="2" customFormat="false" ht="33.75" hidden="false" customHeight="true" outlineLevel="0" collapsed="false">
      <c r="A2" s="3" t="s">
        <v>97</v>
      </c>
      <c r="B2" s="2"/>
      <c r="C2" s="2"/>
      <c r="D2" s="2"/>
      <c r="E2" s="2"/>
      <c r="F2" s="2"/>
      <c r="G2" s="2"/>
    </row>
    <row r="3" customFormat="false" ht="6" hidden="false" customHeight="true" outlineLevel="0" collapsed="false">
      <c r="A3" s="4"/>
      <c r="B3" s="4"/>
      <c r="C3" s="4"/>
      <c r="D3" s="4"/>
      <c r="E3" s="4"/>
      <c r="F3" s="4"/>
      <c r="G3" s="4"/>
    </row>
    <row r="4" customFormat="false" ht="21.6" hidden="false" customHeight="false" outlineLevel="0" collapsed="false">
      <c r="A4" s="17" t="s">
        <v>50</v>
      </c>
    </row>
    <row r="5" customFormat="false" ht="31.5" hidden="false" customHeight="true" outlineLevel="0" collapsed="false">
      <c r="A5" s="5" t="s">
        <v>51</v>
      </c>
    </row>
    <row r="6" customFormat="false" ht="31.5" hidden="false" customHeight="true" outlineLevel="0" collapsed="false">
      <c r="A6" s="13" t="s">
        <v>98</v>
      </c>
      <c r="B6" s="19" t="n">
        <v>1000</v>
      </c>
    </row>
    <row r="7" customFormat="false" ht="31.5" hidden="false" customHeight="true" outlineLevel="0" collapsed="false">
      <c r="A7" s="13" t="s">
        <v>99</v>
      </c>
      <c r="B7" s="20" t="n">
        <v>0.08</v>
      </c>
    </row>
    <row r="8" customFormat="false" ht="31.5" hidden="false" customHeight="true" outlineLevel="0" collapsed="false">
      <c r="A8" s="13" t="s">
        <v>100</v>
      </c>
      <c r="B8" s="18" t="n">
        <v>7</v>
      </c>
    </row>
    <row r="9" customFormat="false" ht="31.5" hidden="false" customHeight="true" outlineLevel="0" collapsed="false">
      <c r="A9" s="13" t="s">
        <v>101</v>
      </c>
      <c r="B9" s="20" t="n">
        <v>0.08</v>
      </c>
    </row>
    <row r="10" customFormat="false" ht="31.5" hidden="false" customHeight="true" outlineLevel="0" collapsed="false">
      <c r="A10" s="13" t="s">
        <v>102</v>
      </c>
      <c r="B10" s="18" t="n">
        <v>100</v>
      </c>
    </row>
    <row r="11" customFormat="false" ht="31.5" hidden="false" customHeight="true" outlineLevel="0" collapsed="false"/>
    <row r="12" customFormat="false" ht="31.5" hidden="false" customHeight="true" outlineLevel="0" collapsed="false">
      <c r="A12" s="5" t="s">
        <v>103</v>
      </c>
    </row>
    <row r="13" customFormat="false" ht="31.5" hidden="false" customHeight="true" outlineLevel="0" collapsed="false">
      <c r="D13" s="12" t="s">
        <v>104</v>
      </c>
      <c r="E13" s="35" t="n">
        <f aca="false">B9-B10/10000</f>
        <v>0.07</v>
      </c>
      <c r="F13" s="35" t="n">
        <f aca="false">B9</f>
        <v>0.08</v>
      </c>
      <c r="G13" s="35" t="n">
        <f aca="false">B9+B10/10000</f>
        <v>0.09</v>
      </c>
    </row>
    <row r="14" customFormat="false" ht="63.75" hidden="false" customHeight="true" outlineLevel="0" collapsed="false">
      <c r="A14" s="21" t="s">
        <v>60</v>
      </c>
      <c r="B14" s="21" t="s">
        <v>61</v>
      </c>
      <c r="C14" s="21" t="s">
        <v>62</v>
      </c>
      <c r="D14" s="21" t="s">
        <v>63</v>
      </c>
      <c r="E14" s="21" t="s">
        <v>105</v>
      </c>
      <c r="F14" s="21" t="s">
        <v>106</v>
      </c>
      <c r="G14" s="21" t="s">
        <v>107</v>
      </c>
    </row>
    <row r="15" customFormat="false" ht="31.5" hidden="false" customHeight="true" outlineLevel="0" collapsed="false">
      <c r="A15" s="18" t="n">
        <v>1</v>
      </c>
      <c r="B15" s="22" t="n">
        <f aca="false">IF(A15&lt;$B$8,$B$6*$B$7,IF(A15=$B$8,$B$6*(1+$B$7),0))</f>
        <v>80</v>
      </c>
      <c r="C15" s="22" t="n">
        <f aca="false">B15/(1+$B$9)^A15</f>
        <v>74.0740740740741</v>
      </c>
      <c r="D15" s="23" t="n">
        <f aca="false">A15*C15</f>
        <v>74.0740740740741</v>
      </c>
      <c r="E15" s="22" t="n">
        <f aca="false">$B15*(1+E$13)^($B$25-$A15)</f>
        <v>109.377415039437</v>
      </c>
      <c r="F15" s="22" t="n">
        <f aca="false">$B15*(1+F$13)^($B$25-$A15)</f>
        <v>114.183667077839</v>
      </c>
      <c r="G15" s="22" t="n">
        <f aca="false">$B15*(1+G$13)^($B$25-$A15)</f>
        <v>119.153878463409</v>
      </c>
    </row>
    <row r="16" customFormat="false" ht="31.5" hidden="false" customHeight="true" outlineLevel="0" collapsed="false">
      <c r="A16" s="18" t="n">
        <v>2</v>
      </c>
      <c r="B16" s="22" t="n">
        <f aca="false">IF(A16&lt;$B$8,$B$6*$B$7,IF(A16=$B$8,$B$6*(1+$B$7),0))</f>
        <v>80</v>
      </c>
      <c r="C16" s="22" t="n">
        <f aca="false">B16/(1+$B$9)^A16</f>
        <v>68.5871056241427</v>
      </c>
      <c r="D16" s="23" t="n">
        <f aca="false">A16*C16</f>
        <v>137.174211248285</v>
      </c>
      <c r="E16" s="22" t="n">
        <f aca="false">$B16*(1+E$13)^($B$25-$A16)</f>
        <v>102.221883214427</v>
      </c>
      <c r="F16" s="22" t="n">
        <f aca="false">$B16*(1+F$13)^($B$25-$A16)</f>
        <v>105.725617664666</v>
      </c>
      <c r="G16" s="22" t="n">
        <f aca="false">$B16*(1+G$13)^($B$25-$A16)</f>
        <v>109.315484828816</v>
      </c>
    </row>
    <row r="17" customFormat="false" ht="31.5" hidden="false" customHeight="true" outlineLevel="0" collapsed="false">
      <c r="A17" s="18" t="n">
        <v>3</v>
      </c>
      <c r="B17" s="22" t="n">
        <f aca="false">IF(A17&lt;$B$8,$B$6*$B$7,IF(A17=$B$8,$B$6*(1+$B$7),0))</f>
        <v>80</v>
      </c>
      <c r="C17" s="22" t="n">
        <f aca="false">B17/(1+$B$9)^A17</f>
        <v>63.5065792816136</v>
      </c>
      <c r="D17" s="23" t="n">
        <f aca="false">A17*C17</f>
        <v>190.519737844841</v>
      </c>
      <c r="E17" s="22" t="n">
        <f aca="false">$B17*(1+E$13)^($B$25-$A17)</f>
        <v>95.5344702938572</v>
      </c>
      <c r="F17" s="22" t="n">
        <f aca="false">$B17*(1+F$13)^($B$25-$A17)</f>
        <v>97.8940904302463</v>
      </c>
      <c r="G17" s="22" t="n">
        <f aca="false">$B17*(1+G$13)^($B$25-$A17)</f>
        <v>100.289435622767</v>
      </c>
    </row>
    <row r="18" customFormat="false" ht="31.5" hidden="false" customHeight="true" outlineLevel="0" collapsed="false">
      <c r="A18" s="18" t="n">
        <v>4</v>
      </c>
      <c r="B18" s="22" t="n">
        <f aca="false">IF(A18&lt;$B$8,$B$6*$B$7,IF(A18=$B$8,$B$6*(1+$B$7),0))</f>
        <v>80</v>
      </c>
      <c r="C18" s="22" t="n">
        <f aca="false">B18/(1+$B$9)^A18</f>
        <v>58.8023882237163</v>
      </c>
      <c r="D18" s="23" t="n">
        <f aca="false">A18*C18</f>
        <v>235.209552894865</v>
      </c>
      <c r="E18" s="22" t="n">
        <f aca="false">$B18*(1+E$13)^($B$25-$A18)</f>
        <v>89.2845516765021</v>
      </c>
      <c r="F18" s="22" t="n">
        <f aca="false">$B18*(1+F$13)^($B$25-$A18)</f>
        <v>90.6426763243022</v>
      </c>
      <c r="G18" s="22" t="n">
        <f aca="false">$B18*(1+G$13)^($B$25-$A18)</f>
        <v>92.0086565346483</v>
      </c>
    </row>
    <row r="19" customFormat="false" ht="31.5" hidden="false" customHeight="true" outlineLevel="0" collapsed="false">
      <c r="A19" s="18" t="n">
        <v>5</v>
      </c>
      <c r="B19" s="22" t="n">
        <f aca="false">IF(A19&lt;$B$8,$B$6*$B$7,IF(A19=$B$8,$B$6*(1+$B$7),0))</f>
        <v>80</v>
      </c>
      <c r="C19" s="22" t="n">
        <f aca="false">B19/(1+$B$9)^A19</f>
        <v>54.4466557627002</v>
      </c>
      <c r="D19" s="23" t="n">
        <f aca="false">A19*C19</f>
        <v>272.233278813501</v>
      </c>
      <c r="E19" s="22" t="n">
        <f aca="false">$B19*(1+E$13)^($B$25-$A19)</f>
        <v>83.4435062397216</v>
      </c>
      <c r="F19" s="22" t="n">
        <f aca="false">$B19*(1+F$13)^($B$25-$A19)</f>
        <v>83.9284040039835</v>
      </c>
      <c r="G19" s="22" t="n">
        <f aca="false">$B19*(1+G$13)^($B$25-$A19)</f>
        <v>84.4116114996774</v>
      </c>
    </row>
    <row r="20" customFormat="false" ht="31.5" hidden="false" customHeight="true" outlineLevel="0" collapsed="false">
      <c r="A20" s="18" t="n">
        <v>6</v>
      </c>
      <c r="B20" s="22" t="n">
        <f aca="false">IF(A20&lt;$B$8,$B$6*$B$7,IF(A20=$B$8,$B$6*(1+$B$7),0))</f>
        <v>80</v>
      </c>
      <c r="C20" s="22" t="n">
        <f aca="false">B20/(1+$B$9)^A20</f>
        <v>50.4135701506484</v>
      </c>
      <c r="D20" s="23" t="n">
        <f aca="false">A20*C20</f>
        <v>302.48142090389</v>
      </c>
      <c r="E20" s="22" t="n">
        <f aca="false">$B20*(1+E$13)^($B$25-$A20)</f>
        <v>77.9845852707678</v>
      </c>
      <c r="F20" s="22" t="n">
        <f aca="false">$B20*(1+F$13)^($B$25-$A20)</f>
        <v>77.7114851888736</v>
      </c>
      <c r="G20" s="22" t="n">
        <f aca="false">$B20*(1+G$13)^($B$25-$A20)</f>
        <v>77.4418454125481</v>
      </c>
    </row>
    <row r="21" customFormat="false" ht="31.5" hidden="false" customHeight="true" outlineLevel="0" collapsed="false">
      <c r="A21" s="18" t="n">
        <v>7</v>
      </c>
      <c r="B21" s="22" t="n">
        <f aca="false">IF(A21&lt;$B$8,$B$6*$B$7,IF(A21=$B$8,$B$6*(1+$B$7),0))</f>
        <v>1080</v>
      </c>
      <c r="C21" s="22" t="n">
        <f aca="false">B21/(1+$B$9)^A21</f>
        <v>630.169626883105</v>
      </c>
      <c r="D21" s="23" t="n">
        <f aca="false">A21*C21</f>
        <v>4411.18738818173</v>
      </c>
      <c r="E21" s="22" t="n">
        <f aca="false">$B21*(1+E$13)^($B$25-$A21)</f>
        <v>983.917664631183</v>
      </c>
      <c r="F21" s="22" t="n">
        <f aca="false">$B21*(1+F$13)^($B$25-$A21)</f>
        <v>971.39356486092</v>
      </c>
      <c r="G21" s="22" t="n">
        <f aca="false">$B21*(1+G$13)^($B$25-$A21)</f>
        <v>959.142122082017</v>
      </c>
    </row>
    <row r="22" customFormat="false" ht="31.5" hidden="false" customHeight="true" outlineLevel="0" collapsed="false">
      <c r="A22" s="12" t="s">
        <v>65</v>
      </c>
      <c r="C22" s="24" t="n">
        <f aca="false">SUM(C15:C21)</f>
        <v>1000</v>
      </c>
      <c r="D22" s="25" t="n">
        <f aca="false">SUM(D15:D21)</f>
        <v>5622.87966396119</v>
      </c>
    </row>
    <row r="23" customFormat="false" ht="31.5" hidden="false" customHeight="true" outlineLevel="0" collapsed="false"/>
    <row r="24" customFormat="false" ht="31.5" hidden="false" customHeight="true" outlineLevel="0" collapsed="false">
      <c r="A24" s="5" t="s">
        <v>108</v>
      </c>
    </row>
    <row r="25" customFormat="false" ht="31.5" hidden="false" customHeight="true" outlineLevel="0" collapsed="false">
      <c r="A25" s="13" t="s">
        <v>109</v>
      </c>
      <c r="B25" s="26" t="n">
        <f aca="false">SUM(D15:D21)/C22</f>
        <v>5.62287966396119</v>
      </c>
      <c r="C25" s="27" t="s">
        <v>110</v>
      </c>
    </row>
    <row r="26" customFormat="false" ht="31.5" hidden="false" customHeight="true" outlineLevel="0" collapsed="false"/>
    <row r="27" customFormat="false" ht="31.5" hidden="false" customHeight="true" outlineLevel="0" collapsed="false">
      <c r="A27" s="5" t="s">
        <v>111</v>
      </c>
    </row>
    <row r="28" customFormat="false" ht="63.75" hidden="false" customHeight="true" outlineLevel="0" collapsed="false">
      <c r="A28" s="21" t="s">
        <v>112</v>
      </c>
      <c r="B28" s="21" t="s">
        <v>113</v>
      </c>
      <c r="C28" s="21" t="s">
        <v>114</v>
      </c>
      <c r="D28" s="21" t="s">
        <v>115</v>
      </c>
    </row>
    <row r="29" customFormat="false" ht="31.5" hidden="false" customHeight="true" outlineLevel="0" collapsed="false">
      <c r="A29" s="13" t="s">
        <v>116</v>
      </c>
      <c r="B29" s="22" t="n">
        <f aca="false">SUMIF($A$15:$A$21,"&lt;="&amp;$B$25,E15:E21)</f>
        <v>479.861826463945</v>
      </c>
      <c r="C29" s="22" t="n">
        <f aca="false">SUMIF($A$15:$A$21,"&lt;="&amp;$B$25,F15:F21)</f>
        <v>492.374455501037</v>
      </c>
      <c r="D29" s="22" t="n">
        <f aca="false">SUMIF($A$15:$A$21,"&lt;="&amp;$B$25,G15:G21)</f>
        <v>505.179066949317</v>
      </c>
    </row>
    <row r="30" customFormat="false" ht="31.5" hidden="false" customHeight="true" outlineLevel="0" collapsed="false">
      <c r="A30" s="13" t="s">
        <v>117</v>
      </c>
      <c r="B30" s="22" t="n">
        <f aca="false">SUMIF($A$15:$A$21,"&gt;"&amp;$B$25,E15:E21)</f>
        <v>1061.90224990195</v>
      </c>
      <c r="C30" s="22" t="n">
        <f aca="false">SUMIF($A$15:$A$21,"&gt;"&amp;$B$25,F15:F21)</f>
        <v>1049.10505004979</v>
      </c>
      <c r="D30" s="22" t="n">
        <f aca="false">SUMIF($A$15:$A$21,"&gt;"&amp;$B$25,G15:G21)</f>
        <v>1036.58396749457</v>
      </c>
    </row>
    <row r="31" customFormat="false" ht="31.5" hidden="false" customHeight="true" outlineLevel="0" collapsed="false">
      <c r="A31" s="12" t="s">
        <v>118</v>
      </c>
      <c r="B31" s="24" t="n">
        <f aca="false">B29+B30</f>
        <v>1541.7640763659</v>
      </c>
      <c r="C31" s="24" t="n">
        <f aca="false">C29+C30</f>
        <v>1541.47950555083</v>
      </c>
      <c r="D31" s="24" t="n">
        <f aca="false">D29+D30</f>
        <v>1541.76303444388</v>
      </c>
    </row>
    <row r="32" customFormat="false" ht="31.5" hidden="false" customHeight="true" outlineLevel="0" collapsed="false">
      <c r="A32" s="13" t="s">
        <v>119</v>
      </c>
      <c r="B32" s="22" t="n">
        <f aca="false">$C$22*(1+$B$9)^$B$25</f>
        <v>1541.47950555083</v>
      </c>
      <c r="C32" s="22" t="n">
        <f aca="false">$C$22*(1+$B$9)^$B$25</f>
        <v>1541.47950555083</v>
      </c>
      <c r="D32" s="22" t="n">
        <f aca="false">$C$22*(1+$B$9)^$B$25</f>
        <v>1541.47950555083</v>
      </c>
    </row>
    <row r="33" customFormat="false" ht="31.5" hidden="false" customHeight="true" outlineLevel="0" collapsed="false">
      <c r="A33" s="12" t="s">
        <v>120</v>
      </c>
      <c r="B33" s="24" t="n">
        <f aca="false">B31-B32</f>
        <v>0.284570815065081</v>
      </c>
      <c r="C33" s="24" t="n">
        <f aca="false">C31-C32</f>
        <v>0</v>
      </c>
      <c r="D33" s="24" t="n">
        <f aca="false">D31-D32</f>
        <v>0.28352889305188</v>
      </c>
    </row>
    <row r="34" customFormat="false" ht="31.5" hidden="false" customHeight="true" outlineLevel="0" collapsed="false">
      <c r="A34" s="13" t="s">
        <v>121</v>
      </c>
      <c r="B34" s="22" t="n">
        <f aca="false">B29-$C$29</f>
        <v>-12.5126290370921</v>
      </c>
      <c r="C34" s="22" t="n">
        <f aca="false">C29-$C$29</f>
        <v>0</v>
      </c>
      <c r="D34" s="22" t="n">
        <f aca="false">D29-$C$29</f>
        <v>12.8046114482799</v>
      </c>
    </row>
    <row r="35" customFormat="false" ht="31.5" hidden="false" customHeight="true" outlineLevel="0" collapsed="false">
      <c r="A35" s="13" t="s">
        <v>122</v>
      </c>
      <c r="B35" s="22" t="n">
        <f aca="false">B30-$C$30</f>
        <v>12.7971998521571</v>
      </c>
      <c r="C35" s="22" t="n">
        <f aca="false">C30-$C$30</f>
        <v>0</v>
      </c>
      <c r="D35" s="22" t="n">
        <f aca="false">D30-$C$30</f>
        <v>-12.5210825552283</v>
      </c>
    </row>
    <row r="36" customFormat="false" ht="31.5" hidden="false" customHeight="true" outlineLevel="0" collapsed="false"/>
    <row r="37" customFormat="false" ht="31.5" hidden="false" customHeight="true" outlineLevel="0" collapsed="false">
      <c r="A37" s="27" t="s">
        <v>123</v>
      </c>
    </row>
    <row r="38" customFormat="false" ht="31.5" hidden="false" customHeight="true" outlineLevel="0" collapsed="false"/>
    <row r="39" customFormat="false" ht="31.5" hidden="false" customHeight="true" outlineLevel="0" collapsed="false">
      <c r="A39" s="16" t="s">
        <v>47</v>
      </c>
    </row>
  </sheetData>
  <hyperlinks>
    <hyperlink ref="A4" r:id="rId1" location="'Overview%20&amp;%20Concept'!A1" display="← Back to contents"/>
    <hyperlink ref="A39" r:id="rId2" display="Prof. V. Ravichandran · The Mountain Path Academy · 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&amp;CProf. V. Ravichandran · The Mountain Path Academy · https://themountainpathacademy.com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9"/>
  <sheetViews>
    <sheetView showFormulas="false" showGridLines="false" showRowColHeaders="true" showZeros="true" rightToLeft="false" tabSelected="false" showOutlineSymbols="true" defaultGridColor="true" view="normal" topLeftCell="A1" colorId="64" zoomScale="70" zoomScaleNormal="7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6"/>
    <col collapsed="false" customWidth="true" hidden="false" outlineLevel="0" max="2" min="2" style="0" width="34"/>
    <col collapsed="false" customWidth="true" hidden="false" outlineLevel="0" max="3" min="3" style="0" width="30"/>
    <col collapsed="false" customWidth="true" hidden="false" outlineLevel="0" max="4" min="4" style="0" width="34"/>
    <col collapsed="false" customWidth="true" hidden="false" outlineLevel="0" max="5" min="5" style="0" width="30"/>
  </cols>
  <sheetData>
    <row r="1" customFormat="false" ht="48" hidden="false" customHeight="true" outlineLevel="0" collapsed="false">
      <c r="A1" s="1" t="s">
        <v>124</v>
      </c>
      <c r="B1" s="2"/>
      <c r="C1" s="2"/>
      <c r="D1" s="2"/>
      <c r="E1" s="2"/>
    </row>
    <row r="2" customFormat="false" ht="33.75" hidden="false" customHeight="true" outlineLevel="0" collapsed="false">
      <c r="A2" s="3" t="s">
        <v>125</v>
      </c>
      <c r="B2" s="2"/>
      <c r="C2" s="2"/>
      <c r="D2" s="2"/>
      <c r="E2" s="2"/>
    </row>
    <row r="3" customFormat="false" ht="6" hidden="false" customHeight="true" outlineLevel="0" collapsed="false">
      <c r="A3" s="4"/>
      <c r="B3" s="4"/>
      <c r="C3" s="4"/>
      <c r="D3" s="4"/>
      <c r="E3" s="4"/>
    </row>
    <row r="4" customFormat="false" ht="21.6" hidden="false" customHeight="false" outlineLevel="0" collapsed="false">
      <c r="A4" s="17" t="s">
        <v>50</v>
      </c>
    </row>
    <row r="5" customFormat="false" ht="31.5" hidden="false" customHeight="true" outlineLevel="0" collapsed="false">
      <c r="A5" s="5" t="s">
        <v>51</v>
      </c>
    </row>
    <row r="6" customFormat="false" ht="31.5" hidden="false" customHeight="true" outlineLevel="0" collapsed="false">
      <c r="A6" s="13" t="s">
        <v>55</v>
      </c>
      <c r="B6" s="20" t="n">
        <v>0.05</v>
      </c>
    </row>
    <row r="7" customFormat="false" ht="31.5" hidden="false" customHeight="true" outlineLevel="0" collapsed="false">
      <c r="A7" s="13" t="s">
        <v>126</v>
      </c>
      <c r="B7" s="18" t="n">
        <v>3</v>
      </c>
    </row>
    <row r="8" customFormat="false" ht="31.5" hidden="false" customHeight="true" outlineLevel="0" collapsed="false">
      <c r="A8" s="13" t="s">
        <v>127</v>
      </c>
      <c r="B8" s="18" t="n">
        <v>7</v>
      </c>
    </row>
    <row r="9" customFormat="false" ht="31.5" hidden="false" customHeight="true" outlineLevel="0" collapsed="false"/>
    <row r="10" customFormat="false" ht="63.75" hidden="false" customHeight="true" outlineLevel="0" collapsed="false">
      <c r="B10" s="21" t="s">
        <v>128</v>
      </c>
      <c r="C10" s="21" t="s">
        <v>91</v>
      </c>
      <c r="D10" s="21" t="s">
        <v>129</v>
      </c>
      <c r="E10" s="21" t="s">
        <v>63</v>
      </c>
    </row>
    <row r="11" customFormat="false" ht="31.5" hidden="false" customHeight="true" outlineLevel="0" collapsed="false">
      <c r="A11" s="13" t="s">
        <v>130</v>
      </c>
      <c r="B11" s="18" t="n">
        <v>2</v>
      </c>
      <c r="C11" s="19" t="n">
        <v>200000</v>
      </c>
      <c r="D11" s="22" t="n">
        <f aca="false">C11/(1+$B$6)^B11</f>
        <v>181405.89569161</v>
      </c>
      <c r="E11" s="23" t="n">
        <f aca="false">B11*D11</f>
        <v>362811.79138322</v>
      </c>
    </row>
    <row r="12" customFormat="false" ht="31.5" hidden="false" customHeight="true" outlineLevel="0" collapsed="false">
      <c r="A12" s="13" t="s">
        <v>131</v>
      </c>
      <c r="B12" s="18" t="n">
        <v>4</v>
      </c>
      <c r="C12" s="19" t="n">
        <v>400000</v>
      </c>
      <c r="D12" s="22" t="n">
        <f aca="false">C12/(1+$B$6)^B12</f>
        <v>329080.989916753</v>
      </c>
      <c r="E12" s="23" t="n">
        <f aca="false">B12*D12</f>
        <v>1316323.95966701</v>
      </c>
    </row>
    <row r="13" customFormat="false" ht="31.5" hidden="false" customHeight="true" outlineLevel="0" collapsed="false">
      <c r="A13" s="13" t="s">
        <v>132</v>
      </c>
      <c r="B13" s="18" t="n">
        <v>6</v>
      </c>
      <c r="C13" s="19" t="n">
        <v>500000</v>
      </c>
      <c r="D13" s="22" t="n">
        <f aca="false">C13/(1+$B$6)^B13</f>
        <v>373107.698318314</v>
      </c>
      <c r="E13" s="23" t="n">
        <f aca="false">B13*D13</f>
        <v>2238646.18990988</v>
      </c>
    </row>
    <row r="14" customFormat="false" ht="31.5" hidden="false" customHeight="true" outlineLevel="0" collapsed="false">
      <c r="A14" s="12" t="s">
        <v>65</v>
      </c>
      <c r="C14" s="24" t="n">
        <f aca="false">SUM(C11:C13)</f>
        <v>1100000</v>
      </c>
      <c r="D14" s="24" t="n">
        <f aca="false">SUM(D11:D13)</f>
        <v>883594.583926676</v>
      </c>
      <c r="E14" s="25" t="n">
        <f aca="false">SUM(E11:E13)</f>
        <v>3917781.94096011</v>
      </c>
    </row>
    <row r="15" customFormat="false" ht="31.5" hidden="false" customHeight="true" outlineLevel="0" collapsed="false">
      <c r="A15" s="5" t="s">
        <v>133</v>
      </c>
    </row>
    <row r="16" customFormat="false" ht="31.5" hidden="false" customHeight="true" outlineLevel="0" collapsed="false">
      <c r="A16" s="13" t="s">
        <v>134</v>
      </c>
      <c r="B16" s="22" t="n">
        <f aca="false">SUM(D11:D13)</f>
        <v>883594.583926676</v>
      </c>
    </row>
    <row r="17" customFormat="false" ht="31.5" hidden="false" customHeight="true" outlineLevel="0" collapsed="false">
      <c r="A17" s="13" t="s">
        <v>135</v>
      </c>
      <c r="B17" s="26" t="n">
        <f aca="false">SUM(E11:E13)/B16</f>
        <v>4.43391348501659</v>
      </c>
    </row>
    <row r="18" customFormat="false" ht="31.5" hidden="false" customHeight="true" outlineLevel="0" collapsed="false">
      <c r="A18" s="13" t="s">
        <v>136</v>
      </c>
      <c r="B18" s="29" t="n">
        <f aca="false">(B17-B8)/(B7-B8)</f>
        <v>0.641521628745853</v>
      </c>
    </row>
    <row r="19" customFormat="false" ht="31.5" hidden="false" customHeight="true" outlineLevel="0" collapsed="false">
      <c r="A19" s="13" t="s">
        <v>137</v>
      </c>
      <c r="B19" s="29" t="n">
        <f aca="false">1-B18</f>
        <v>0.358478371254147</v>
      </c>
    </row>
    <row r="20" customFormat="false" ht="31.5" hidden="false" customHeight="true" outlineLevel="0" collapsed="false">
      <c r="A20" s="13" t="s">
        <v>138</v>
      </c>
      <c r="B20" s="22" t="n">
        <f aca="false">B16*B18</f>
        <v>566845.036631656</v>
      </c>
    </row>
    <row r="21" customFormat="false" ht="31.5" hidden="false" customHeight="true" outlineLevel="0" collapsed="false">
      <c r="A21" s="13" t="s">
        <v>139</v>
      </c>
      <c r="B21" s="22" t="n">
        <f aca="false">B16*B19</f>
        <v>316749.547295021</v>
      </c>
    </row>
    <row r="22" customFormat="false" ht="31.5" hidden="false" customHeight="true" outlineLevel="0" collapsed="false">
      <c r="A22" s="13" t="s">
        <v>140</v>
      </c>
      <c r="B22" s="24" t="n">
        <f aca="false">(B20*B7+B21*B8)/(1+B6)*0.0001</f>
        <v>373.122089615249</v>
      </c>
    </row>
    <row r="23" customFormat="false" ht="31.5" hidden="false" customHeight="true" outlineLevel="0" collapsed="false">
      <c r="A23" s="13" t="s">
        <v>141</v>
      </c>
      <c r="B23" s="24" t="n">
        <f aca="false">B16*B17/(1+B6)*0.0001</f>
        <v>373.122089615249</v>
      </c>
    </row>
    <row r="24" customFormat="false" ht="31.5" hidden="false" customHeight="true" outlineLevel="0" collapsed="false">
      <c r="A24" s="13" t="s">
        <v>142</v>
      </c>
      <c r="B24" s="22" t="n">
        <f aca="false">B22-B23</f>
        <v>0</v>
      </c>
    </row>
    <row r="25" customFormat="false" ht="31.5" hidden="false" customHeight="true" outlineLevel="0" collapsed="false">
      <c r="A25" s="13" t="s">
        <v>143</v>
      </c>
      <c r="B25" s="36" t="str">
        <f aca="false">IF(B7&gt;MIN(B11:B13),"Sale needed: first payment is due before the short zero matures","Short zero matures in time")</f>
        <v>Sale needed: first payment is due before the short zero matures</v>
      </c>
    </row>
    <row r="26" customFormat="false" ht="31.5" hidden="false" customHeight="true" outlineLevel="0" collapsed="false"/>
    <row r="27" customFormat="false" ht="31.5" hidden="false" customHeight="true" outlineLevel="0" collapsed="false">
      <c r="A27" s="27" t="s">
        <v>144</v>
      </c>
    </row>
    <row r="28" customFormat="false" ht="31.5" hidden="false" customHeight="true" outlineLevel="0" collapsed="false"/>
    <row r="29" customFormat="false" ht="31.5" hidden="false" customHeight="true" outlineLevel="0" collapsed="false">
      <c r="A29" s="16" t="s">
        <v>47</v>
      </c>
    </row>
  </sheetData>
  <hyperlinks>
    <hyperlink ref="A4" r:id="rId1" location="'Overview%20&amp;%20Concept'!A1" display="← Back to contents"/>
    <hyperlink ref="A29" r:id="rId2" display="Prof. V. Ravichandran · The Mountain Path Academy · 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&amp;CProf. V. Ravichandran · The Mountain Path Academy · https://themountainpathacademy.com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6"/>
  <sheetViews>
    <sheetView showFormulas="false" showGridLines="false" showRowColHeaders="true" showZeros="true" rightToLeft="false" tabSelected="false" showOutlineSymbols="true" defaultGridColor="true" view="normal" topLeftCell="A1" colorId="64" zoomScale="70" zoomScaleNormal="7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2"/>
    <col collapsed="false" customWidth="true" hidden="false" outlineLevel="0" max="6" min="2" style="0" width="30"/>
  </cols>
  <sheetData>
    <row r="1" customFormat="false" ht="48" hidden="false" customHeight="true" outlineLevel="0" collapsed="false">
      <c r="A1" s="1" t="s">
        <v>145</v>
      </c>
      <c r="B1" s="2"/>
      <c r="C1" s="2"/>
      <c r="D1" s="2"/>
      <c r="E1" s="2"/>
      <c r="F1" s="2"/>
    </row>
    <row r="2" customFormat="false" ht="33.75" hidden="false" customHeight="true" outlineLevel="0" collapsed="false">
      <c r="A2" s="3" t="s">
        <v>146</v>
      </c>
      <c r="B2" s="2"/>
      <c r="C2" s="2"/>
      <c r="D2" s="2"/>
      <c r="E2" s="2"/>
      <c r="F2" s="2"/>
    </row>
    <row r="3" customFormat="false" ht="6" hidden="false" customHeight="true" outlineLevel="0" collapsed="false">
      <c r="A3" s="4"/>
      <c r="B3" s="4"/>
      <c r="C3" s="4"/>
      <c r="D3" s="4"/>
      <c r="E3" s="4"/>
      <c r="F3" s="4"/>
    </row>
    <row r="4" customFormat="false" ht="21.6" hidden="false" customHeight="false" outlineLevel="0" collapsed="false">
      <c r="A4" s="17" t="s">
        <v>50</v>
      </c>
    </row>
    <row r="5" customFormat="false" ht="31.5" hidden="false" customHeight="true" outlineLevel="0" collapsed="false">
      <c r="A5" s="5" t="s">
        <v>51</v>
      </c>
    </row>
    <row r="6" customFormat="false" ht="31.5" hidden="false" customHeight="true" outlineLevel="0" collapsed="false">
      <c r="A6" s="13" t="s">
        <v>147</v>
      </c>
      <c r="B6" s="20" t="n">
        <v>0.05</v>
      </c>
    </row>
    <row r="7" customFormat="false" ht="31.5" hidden="false" customHeight="true" outlineLevel="0" collapsed="false">
      <c r="A7" s="13" t="s">
        <v>148</v>
      </c>
      <c r="B7" s="18" t="n">
        <v>5</v>
      </c>
    </row>
    <row r="8" customFormat="false" ht="31.5" hidden="false" customHeight="true" outlineLevel="0" collapsed="false">
      <c r="A8" s="13" t="s">
        <v>149</v>
      </c>
      <c r="B8" s="18" t="n">
        <v>1</v>
      </c>
    </row>
    <row r="9" customFormat="false" ht="31.5" hidden="false" customHeight="true" outlineLevel="0" collapsed="false">
      <c r="A9" s="13" t="s">
        <v>150</v>
      </c>
      <c r="B9" s="18" t="n">
        <v>9</v>
      </c>
    </row>
    <row r="10" customFormat="false" ht="31.5" hidden="false" customHeight="true" outlineLevel="0" collapsed="false">
      <c r="A10" s="13" t="s">
        <v>151</v>
      </c>
      <c r="B10" s="20" t="n">
        <v>0.5</v>
      </c>
    </row>
    <row r="11" customFormat="false" ht="31.5" hidden="false" customHeight="true" outlineLevel="0" collapsed="false"/>
    <row r="12" customFormat="false" ht="63.75" hidden="false" customHeight="true" outlineLevel="0" collapsed="false">
      <c r="A12" s="21" t="s">
        <v>152</v>
      </c>
      <c r="B12" s="21" t="s">
        <v>153</v>
      </c>
      <c r="C12" s="21" t="s">
        <v>154</v>
      </c>
    </row>
    <row r="13" customFormat="false" ht="31.5" hidden="false" customHeight="true" outlineLevel="0" collapsed="false">
      <c r="A13" s="13" t="s">
        <v>155</v>
      </c>
      <c r="B13" s="31" t="n">
        <f aca="false">B7</f>
        <v>5</v>
      </c>
      <c r="C13" s="31" t="n">
        <f aca="false">B10*B8+(1-B10)*B9</f>
        <v>5</v>
      </c>
    </row>
    <row r="14" customFormat="false" ht="31.5" hidden="false" customHeight="true" outlineLevel="0" collapsed="false">
      <c r="A14" s="13" t="s">
        <v>25</v>
      </c>
      <c r="B14" s="37" t="n">
        <f aca="false">B13/(1+$B$6)</f>
        <v>4.76190476190476</v>
      </c>
      <c r="C14" s="37" t="n">
        <f aca="false">C13/(1+$B$6)</f>
        <v>4.76190476190476</v>
      </c>
    </row>
    <row r="15" customFormat="false" ht="31.5" hidden="false" customHeight="true" outlineLevel="0" collapsed="false">
      <c r="A15" s="13" t="s">
        <v>156</v>
      </c>
      <c r="B15" s="31" t="n">
        <f aca="false">B7*(B7+1)/(1+$B$6)^2</f>
        <v>27.2108843537415</v>
      </c>
      <c r="C15" s="31" t="n">
        <f aca="false">B10*B8*(B8+1)/(1+$B$6)^2+(1-B10)*B9*(B9+1)/(1+$B$6)^2</f>
        <v>41.7233560090703</v>
      </c>
      <c r="D15" s="27" t="s">
        <v>157</v>
      </c>
    </row>
    <row r="16" customFormat="false" ht="31.5" hidden="false" customHeight="true" outlineLevel="0" collapsed="false"/>
    <row r="17" customFormat="false" ht="31.5" hidden="false" customHeight="true" outlineLevel="0" collapsed="false">
      <c r="A17" s="5" t="s">
        <v>158</v>
      </c>
    </row>
    <row r="18" customFormat="false" ht="63.75" hidden="false" customHeight="true" outlineLevel="0" collapsed="false">
      <c r="A18" s="21" t="s">
        <v>159</v>
      </c>
      <c r="B18" s="21" t="s">
        <v>160</v>
      </c>
      <c r="C18" s="21" t="s">
        <v>161</v>
      </c>
      <c r="D18" s="21" t="s">
        <v>162</v>
      </c>
      <c r="E18" s="21" t="s">
        <v>163</v>
      </c>
      <c r="F18" s="21" t="s">
        <v>164</v>
      </c>
    </row>
    <row r="19" customFormat="false" ht="31.5" hidden="false" customHeight="true" outlineLevel="0" collapsed="false">
      <c r="A19" s="13" t="s">
        <v>165</v>
      </c>
      <c r="B19" s="32" t="n">
        <v>100</v>
      </c>
      <c r="C19" s="32" t="n">
        <v>100</v>
      </c>
      <c r="D19" s="32" t="n">
        <v>100</v>
      </c>
      <c r="E19" s="29" t="n">
        <f aca="false">((1+$B$6)/(1+$B$6+C19/10000))^$B$7-1</f>
        <v>-0.0462881715436134</v>
      </c>
      <c r="F19" s="28" t="n">
        <f aca="false">$B$10*(((1+$B$6)/(1+$B$6+B19/10000))^$B$8-1)+(1-$B$10)*(((1+$B$6)/(1+$B$6+D19/10000))^$B$9-1)</f>
        <v>-0.0456025873978462</v>
      </c>
    </row>
    <row r="20" customFormat="false" ht="31.5" hidden="false" customHeight="true" outlineLevel="0" collapsed="false">
      <c r="A20" s="13" t="s">
        <v>166</v>
      </c>
      <c r="B20" s="32" t="n">
        <v>-100</v>
      </c>
      <c r="C20" s="32" t="n">
        <v>-100</v>
      </c>
      <c r="D20" s="32" t="n">
        <v>-100</v>
      </c>
      <c r="E20" s="29" t="n">
        <f aca="false">((1+$B$6)/(1+$B$6+C20/10000))^$B$7-1</f>
        <v>0.0490104120759296</v>
      </c>
      <c r="F20" s="28" t="n">
        <f aca="false">$B$10*(((1+$B$6)/(1+$B$6+B20/10000))^$B$8-1)+(1-$B$10)*(((1+$B$6)/(1+$B$6+D20/10000))^$B$9-1)</f>
        <v>0.0497790058455305</v>
      </c>
    </row>
    <row r="21" customFormat="false" ht="31.5" hidden="false" customHeight="true" outlineLevel="0" collapsed="false">
      <c r="A21" s="13" t="s">
        <v>167</v>
      </c>
      <c r="B21" s="32" t="n">
        <v>-50</v>
      </c>
      <c r="C21" s="32" t="n">
        <v>0</v>
      </c>
      <c r="D21" s="32" t="n">
        <v>50</v>
      </c>
      <c r="E21" s="29" t="n">
        <f aca="false">((1+$B$6)/(1+$B$6+C21/10000))^$B$7-1</f>
        <v>0</v>
      </c>
      <c r="F21" s="28" t="n">
        <f aca="false">$B$10*(((1+$B$6)/(1+$B$6+B21/10000))^$B$8-1)+(1-$B$10)*(((1+$B$6)/(1+$B$6+D21/10000))^$B$9-1)</f>
        <v>-0.0185348054710689</v>
      </c>
    </row>
    <row r="22" customFormat="false" ht="31.5" hidden="false" customHeight="true" outlineLevel="0" collapsed="false">
      <c r="A22" s="13" t="s">
        <v>168</v>
      </c>
      <c r="B22" s="32" t="n">
        <v>50</v>
      </c>
      <c r="C22" s="32" t="n">
        <v>0</v>
      </c>
      <c r="D22" s="32" t="n">
        <v>-50</v>
      </c>
      <c r="E22" s="29" t="n">
        <f aca="false">((1+$B$6)/(1+$B$6+C22/10000))^$B$7-1</f>
        <v>0</v>
      </c>
      <c r="F22" s="28" t="n">
        <f aca="false">$B$10*(((1+$B$6)/(1+$B$6+B22/10000))^$B$8-1)+(1-$B$10)*(((1+$B$6)/(1+$B$6+D22/10000))^$B$9-1)</f>
        <v>0.0195781444440916</v>
      </c>
    </row>
    <row r="23" customFormat="false" ht="31.5" hidden="false" customHeight="true" outlineLevel="0" collapsed="false"/>
    <row r="24" customFormat="false" ht="31.5" hidden="false" customHeight="true" outlineLevel="0" collapsed="false">
      <c r="A24" s="27" t="s">
        <v>169</v>
      </c>
    </row>
    <row r="25" customFormat="false" ht="31.5" hidden="false" customHeight="true" outlineLevel="0" collapsed="false"/>
    <row r="26" customFormat="false" ht="31.5" hidden="false" customHeight="true" outlineLevel="0" collapsed="false">
      <c r="A26" s="16" t="s">
        <v>47</v>
      </c>
    </row>
  </sheetData>
  <hyperlinks>
    <hyperlink ref="A4" r:id="rId1" location="'Overview%20&amp;%20Concept'!A1" display="← Back to contents"/>
    <hyperlink ref="A26" r:id="rId2" display="Prof. V. Ravichandran · The Mountain Path Academy · 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&amp;CProf. V. Ravichandran · The Mountain Path Academy · https://themountainpathacademy.com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7"/>
  <sheetViews>
    <sheetView showFormulas="false" showGridLines="false" showRowColHeaders="true" showZeros="true" rightToLeft="false" tabSelected="false" showOutlineSymbols="true" defaultGridColor="true" view="normal" topLeftCell="A1" colorId="64" zoomScale="70" zoomScaleNormal="7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6"/>
    <col collapsed="false" customWidth="true" hidden="false" outlineLevel="0" max="2" min="2" style="0" width="36"/>
    <col collapsed="false" customWidth="true" hidden="false" outlineLevel="0" max="5" min="3" style="0" width="24"/>
    <col collapsed="false" customWidth="true" hidden="false" outlineLevel="0" max="8" min="6" style="0" width="30"/>
    <col collapsed="false" customWidth="true" hidden="false" outlineLevel="0" max="9" min="9" style="0" width="26"/>
    <col collapsed="false" customWidth="true" hidden="false" outlineLevel="0" max="11" min="10" style="0" width="32"/>
  </cols>
  <sheetData>
    <row r="1" customFormat="false" ht="48" hidden="false" customHeight="true" outlineLevel="0" collapsed="false">
      <c r="A1" s="1" t="s">
        <v>170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33.75" hidden="false" customHeight="true" outlineLevel="0" collapsed="false">
      <c r="A2" s="3" t="s">
        <v>171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6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customFormat="false" ht="21.6" hidden="false" customHeight="false" outlineLevel="0" collapsed="false">
      <c r="A4" s="17" t="s">
        <v>50</v>
      </c>
    </row>
    <row r="5" customFormat="false" ht="31.5" hidden="false" customHeight="true" outlineLevel="0" collapsed="false">
      <c r="A5" s="5" t="s">
        <v>51</v>
      </c>
    </row>
    <row r="6" customFormat="false" ht="31.5" hidden="false" customHeight="true" outlineLevel="0" collapsed="false">
      <c r="A6" s="13" t="s">
        <v>172</v>
      </c>
      <c r="B6" s="19" t="n">
        <v>1000000</v>
      </c>
    </row>
    <row r="7" customFormat="false" ht="31.5" hidden="false" customHeight="true" outlineLevel="0" collapsed="false">
      <c r="A7" s="13" t="s">
        <v>173</v>
      </c>
      <c r="B7" s="18" t="n">
        <v>5</v>
      </c>
    </row>
    <row r="8" customFormat="false" ht="31.5" hidden="false" customHeight="true" outlineLevel="0" collapsed="false">
      <c r="A8" s="13" t="s">
        <v>174</v>
      </c>
      <c r="B8" s="18" t="n">
        <v>3</v>
      </c>
    </row>
    <row r="9" customFormat="false" ht="31.5" hidden="false" customHeight="true" outlineLevel="0" collapsed="false">
      <c r="A9" s="13" t="s">
        <v>175</v>
      </c>
      <c r="B9" s="18" t="n">
        <v>8</v>
      </c>
    </row>
    <row r="10" customFormat="false" ht="31.5" hidden="false" customHeight="true" outlineLevel="0" collapsed="false"/>
    <row r="11" customFormat="false" ht="120" hidden="false" customHeight="true" outlineLevel="0" collapsed="false">
      <c r="A11" s="21" t="s">
        <v>176</v>
      </c>
      <c r="B11" s="21" t="s">
        <v>177</v>
      </c>
      <c r="C11" s="21" t="s">
        <v>178</v>
      </c>
      <c r="D11" s="21" t="s">
        <v>179</v>
      </c>
      <c r="E11" s="21" t="s">
        <v>180</v>
      </c>
      <c r="F11" s="21" t="s">
        <v>181</v>
      </c>
      <c r="G11" s="21" t="s">
        <v>182</v>
      </c>
      <c r="H11" s="21" t="s">
        <v>183</v>
      </c>
      <c r="I11" s="21" t="s">
        <v>184</v>
      </c>
      <c r="J11" s="21" t="s">
        <v>185</v>
      </c>
      <c r="K11" s="21" t="s">
        <v>186</v>
      </c>
    </row>
    <row r="12" customFormat="false" ht="31.5" hidden="false" customHeight="true" outlineLevel="0" collapsed="false">
      <c r="A12" s="18" t="n">
        <v>0</v>
      </c>
      <c r="B12" s="20" t="n">
        <v>0.05</v>
      </c>
      <c r="C12" s="38" t="n">
        <f aca="false">$B$7-A12</f>
        <v>5</v>
      </c>
      <c r="D12" s="38" t="n">
        <f aca="false">MAX($B$8-A12,0)</f>
        <v>3</v>
      </c>
      <c r="E12" s="38" t="n">
        <f aca="false">$B$9-A12</f>
        <v>8</v>
      </c>
      <c r="F12" s="22" t="n">
        <f aca="false">I12*H12</f>
        <v>470115.699881075</v>
      </c>
      <c r="G12" s="22" t="n">
        <f aca="false">H12-F12</f>
        <v>313410.466587384</v>
      </c>
      <c r="H12" s="24" t="n">
        <f aca="false">$B$6/(1+B12)^$B$7</f>
        <v>783526.166468459</v>
      </c>
      <c r="I12" s="33" t="n">
        <f aca="false">IF(C12=0,1,(C12-E12)/(D12-E12))</f>
        <v>0.6</v>
      </c>
      <c r="J12" s="22" t="n">
        <f aca="false">I12*H12*(1+B12)^D12</f>
        <v>544217.68707483</v>
      </c>
      <c r="K12" s="22" t="n">
        <f aca="false">(1-I12)*H12*(1+B12)^E12</f>
        <v>463050</v>
      </c>
    </row>
    <row r="13" customFormat="false" ht="31.5" hidden="false" customHeight="true" outlineLevel="0" collapsed="false">
      <c r="A13" s="18" t="n">
        <v>1</v>
      </c>
      <c r="B13" s="20" t="n">
        <v>0.055</v>
      </c>
      <c r="C13" s="38" t="n">
        <f aca="false">$B$7-A13</f>
        <v>4</v>
      </c>
      <c r="D13" s="38" t="n">
        <f aca="false">MAX($B$8-A13,0)</f>
        <v>2</v>
      </c>
      <c r="E13" s="38" t="n">
        <f aca="false">$B$9-A13</f>
        <v>7</v>
      </c>
      <c r="F13" s="22" t="n">
        <f aca="false">IF(D12=0,J12*(1+B12),J12/(1+B13)^D13)</f>
        <v>488953.69562663</v>
      </c>
      <c r="G13" s="22" t="n">
        <f aca="false">K12/(1+B13)^E13</f>
        <v>318317.614200985</v>
      </c>
      <c r="H13" s="24" t="n">
        <f aca="false">F13+G13</f>
        <v>807271.309827615</v>
      </c>
      <c r="I13" s="33" t="n">
        <f aca="false">IF(C13=0,1,(C13-E13)/(D13-E13))</f>
        <v>0.6</v>
      </c>
      <c r="J13" s="22" t="n">
        <f aca="false">I13*H13*(1+B13)^D13</f>
        <v>539107.889772529</v>
      </c>
      <c r="K13" s="22" t="n">
        <f aca="false">(1-I13)*H13*(1+B13)^E13</f>
        <v>469728.300714966</v>
      </c>
    </row>
    <row r="14" customFormat="false" ht="31.5" hidden="false" customHeight="true" outlineLevel="0" collapsed="false">
      <c r="A14" s="18" t="n">
        <v>2</v>
      </c>
      <c r="B14" s="20" t="n">
        <v>0.06</v>
      </c>
      <c r="C14" s="38" t="n">
        <f aca="false">$B$7-A14</f>
        <v>3</v>
      </c>
      <c r="D14" s="38" t="n">
        <f aca="false">MAX($B$8-A14,0)</f>
        <v>1</v>
      </c>
      <c r="E14" s="38" t="n">
        <f aca="false">$B$9-A14</f>
        <v>6</v>
      </c>
      <c r="F14" s="22" t="n">
        <f aca="false">IF(D13=0,J13*(1+B13),J13/(1+B14)^D14)</f>
        <v>508592.348842008</v>
      </c>
      <c r="G14" s="22" t="n">
        <f aca="false">K13/(1+B14)^E14</f>
        <v>331139.916731833</v>
      </c>
      <c r="H14" s="24" t="n">
        <f aca="false">F14+G14</f>
        <v>839732.265573842</v>
      </c>
      <c r="I14" s="33" t="n">
        <f aca="false">IF(C14=0,1,(C14-E14)/(D14-E14))</f>
        <v>0.6</v>
      </c>
      <c r="J14" s="22" t="n">
        <f aca="false">I14*H14*(1+B14)^D14</f>
        <v>534069.720904963</v>
      </c>
      <c r="K14" s="22" t="n">
        <f aca="false">(1-I14)*H14*(1+B14)^E14</f>
        <v>476470.50715781</v>
      </c>
    </row>
    <row r="15" customFormat="false" ht="31.5" hidden="false" customHeight="true" outlineLevel="0" collapsed="false">
      <c r="A15" s="18" t="n">
        <v>3</v>
      </c>
      <c r="B15" s="20" t="n">
        <v>0.052</v>
      </c>
      <c r="C15" s="38" t="n">
        <f aca="false">$B$7-A15</f>
        <v>2</v>
      </c>
      <c r="D15" s="38" t="n">
        <f aca="false">MAX($B$8-A15,0)</f>
        <v>0</v>
      </c>
      <c r="E15" s="38" t="n">
        <f aca="false">$B$9-A15</f>
        <v>5</v>
      </c>
      <c r="F15" s="22" t="n">
        <f aca="false">IF(D14=0,J14*(1+B14),J14/(1+B15)^D15)</f>
        <v>534069.720904963</v>
      </c>
      <c r="G15" s="22" t="n">
        <f aca="false">K14/(1+B15)^E15</f>
        <v>369791.840789925</v>
      </c>
      <c r="H15" s="24" t="n">
        <f aca="false">F15+G15</f>
        <v>903861.561694888</v>
      </c>
      <c r="I15" s="33" t="n">
        <f aca="false">IF(C15=0,1,(C15-E15)/(D15-E15))</f>
        <v>0.6</v>
      </c>
      <c r="J15" s="22" t="n">
        <f aca="false">I15*H15*(1+B15)^D15</f>
        <v>542316.937016933</v>
      </c>
      <c r="K15" s="22" t="n">
        <f aca="false">(1-I15)*H15*(1+B15)^E15</f>
        <v>465844.109249419</v>
      </c>
    </row>
    <row r="16" customFormat="false" ht="31.5" hidden="false" customHeight="true" outlineLevel="0" collapsed="false">
      <c r="A16" s="18" t="n">
        <v>4</v>
      </c>
      <c r="B16" s="20" t="n">
        <v>0.048</v>
      </c>
      <c r="C16" s="38" t="n">
        <f aca="false">$B$7-A16</f>
        <v>1</v>
      </c>
      <c r="D16" s="38" t="n">
        <f aca="false">MAX($B$8-A16,0)</f>
        <v>0</v>
      </c>
      <c r="E16" s="38" t="n">
        <f aca="false">$B$9-A16</f>
        <v>4</v>
      </c>
      <c r="F16" s="22" t="n">
        <f aca="false">IF(D15=0,J15*(1+B15),J15/(1+B16)^D16)</f>
        <v>570517.417741813</v>
      </c>
      <c r="G16" s="22" t="n">
        <f aca="false">K15/(1+B16)^E16</f>
        <v>386185.067889106</v>
      </c>
      <c r="H16" s="24" t="n">
        <f aca="false">F16+G16</f>
        <v>956702.48563092</v>
      </c>
      <c r="I16" s="33" t="n">
        <f aca="false">IF(C16=0,1,(C16-E16)/(D16-E16))</f>
        <v>0.75</v>
      </c>
      <c r="J16" s="22" t="n">
        <f aca="false">I16*H16*(1+B16)^D16</f>
        <v>717526.86422319</v>
      </c>
      <c r="K16" s="22" t="n">
        <f aca="false">(1-I16)*H16*(1+B16)^E16</f>
        <v>288510.777793341</v>
      </c>
    </row>
    <row r="17" customFormat="false" ht="31.5" hidden="false" customHeight="true" outlineLevel="0" collapsed="false">
      <c r="A17" s="18" t="n">
        <v>5</v>
      </c>
      <c r="B17" s="20" t="n">
        <v>0.045</v>
      </c>
      <c r="C17" s="38" t="n">
        <f aca="false">$B$7-A17</f>
        <v>0</v>
      </c>
      <c r="D17" s="38" t="n">
        <f aca="false">MAX($B$8-A17,0)</f>
        <v>0</v>
      </c>
      <c r="E17" s="38" t="n">
        <f aca="false">$B$9-A17</f>
        <v>3</v>
      </c>
      <c r="F17" s="22" t="n">
        <f aca="false">IF(D16=0,J16*(1+B16),J16/(1+B17)^D17)</f>
        <v>751968.153705903</v>
      </c>
      <c r="G17" s="22" t="n">
        <f aca="false">K16/(1+B17)^E17</f>
        <v>252821.014813545</v>
      </c>
      <c r="H17" s="24" t="n">
        <f aca="false">F17+G17</f>
        <v>1004789.16851945</v>
      </c>
      <c r="I17" s="33" t="n">
        <f aca="false">IF(C17=0,1,(C17-E17)/(D17-E17))</f>
        <v>1</v>
      </c>
      <c r="J17" s="22" t="n">
        <f aca="false">I17*H17*(1+B17)^D17</f>
        <v>1004789.16851945</v>
      </c>
      <c r="K17" s="22" t="n">
        <f aca="false">(1-I17)*H17*(1+B17)^E17</f>
        <v>0</v>
      </c>
    </row>
    <row r="18" customFormat="false" ht="31.5" hidden="false" customHeight="true" outlineLevel="0" collapsed="false">
      <c r="A18" s="27" t="s">
        <v>187</v>
      </c>
    </row>
    <row r="19" customFormat="false" ht="31.5" hidden="false" customHeight="true" outlineLevel="0" collapsed="false"/>
    <row r="20" customFormat="false" ht="31.5" hidden="false" customHeight="true" outlineLevel="0" collapsed="false">
      <c r="A20" s="5" t="s">
        <v>188</v>
      </c>
    </row>
    <row r="21" customFormat="false" ht="31.5" hidden="false" customHeight="true" outlineLevel="0" collapsed="false">
      <c r="A21" s="13" t="s">
        <v>189</v>
      </c>
      <c r="B21" s="24" t="n">
        <f aca="false">H17</f>
        <v>1004789.16851945</v>
      </c>
    </row>
    <row r="22" customFormat="false" ht="31.5" hidden="false" customHeight="true" outlineLevel="0" collapsed="false">
      <c r="A22" s="13" t="s">
        <v>190</v>
      </c>
      <c r="B22" s="22" t="n">
        <f aca="false">B6</f>
        <v>1000000</v>
      </c>
    </row>
    <row r="23" customFormat="false" ht="31.5" hidden="false" customHeight="true" outlineLevel="0" collapsed="false">
      <c r="A23" s="13" t="s">
        <v>191</v>
      </c>
      <c r="B23" s="24" t="n">
        <f aca="false">B21-B22</f>
        <v>4789.16851944791</v>
      </c>
    </row>
    <row r="24" customFormat="false" ht="31.5" hidden="false" customHeight="true" outlineLevel="0" collapsed="false"/>
    <row r="25" customFormat="false" ht="31.5" hidden="false" customHeight="true" outlineLevel="0" collapsed="false">
      <c r="A25" s="27" t="s">
        <v>192</v>
      </c>
    </row>
    <row r="26" customFormat="false" ht="31.5" hidden="false" customHeight="true" outlineLevel="0" collapsed="false"/>
    <row r="27" customFormat="false" ht="31.5" hidden="false" customHeight="true" outlineLevel="0" collapsed="false">
      <c r="A27" s="16" t="s">
        <v>47</v>
      </c>
    </row>
  </sheetData>
  <hyperlinks>
    <hyperlink ref="A4" r:id="rId1" location="'Overview%20&amp;%20Concept'!A1" display="← Back to contents"/>
    <hyperlink ref="A27" r:id="rId2" display="Prof. V. Ravichandran · The Mountain Path Academy · 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&amp;CProf. V. Ravichandran · The Mountain Path Academy · https://themountainpathacademy.com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2026-11-06T11:43:35Z</dcterms:created>
  <dc:creator>openpyxl</dc:creator>
  <dc:description/>
  <dc:language>en-US</dc:language>
  <cp:lastModifiedBy/>
  <dcterms:modified xsi:type="dcterms:W3CDTF">2026-11-06T11:43:36Z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