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ichyravis/Library/Mobile Documents/com~apple~CloudDocs/01. Ravis Academics/16. BITs Hyderabad/0A. Courses/04. Financial Analytics/0B. Lecture Sessions/03. Sessions No 3/"/>
    </mc:Choice>
  </mc:AlternateContent>
  <xr:revisionPtr revIDLastSave="0" documentId="13_ncr:1_{F931E8AC-A274-0A42-9245-56377029BD9E}" xr6:coauthVersionLast="47" xr6:coauthVersionMax="47" xr10:uidLastSave="{00000000-0000-0000-0000-000000000000}"/>
  <bookViews>
    <workbookView xWindow="0" yWindow="0" windowWidth="33600" windowHeight="21000" activeTab="6" xr2:uid="{3F637AF2-DEBE-CD44-A394-105DA7EEF970}"/>
  </bookViews>
  <sheets>
    <sheet name="Sheet1" sheetId="1" r:id="rId1"/>
    <sheet name="1_Overview" sheetId="2" r:id="rId2"/>
    <sheet name="2_DescriptiveStats" sheetId="3" r:id="rId3"/>
    <sheet name="3_Covariance" sheetId="4" r:id="rId4"/>
    <sheet name="4_Correlation" sheetId="5" r:id="rId5"/>
    <sheet name="5_Standardization" sheetId="6" r:id="rId6"/>
    <sheet name="6_Mahalanobis" sheetId="7" r:id="rId7"/>
    <sheet name="7_PCA" sheetId="8" r:id="rId8"/>
    <sheet name="8_Normality_Outliers" sheetId="9" r:id="rId9"/>
    <sheet name="9_Regression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7" l="1"/>
  <c r="B9" i="7"/>
  <c r="B10" i="6"/>
  <c r="B11" i="5"/>
  <c r="B21" i="10"/>
  <c r="I9" i="10"/>
  <c r="H1" i="10"/>
  <c r="H1" i="9"/>
  <c r="H1" i="7"/>
  <c r="H1" i="6"/>
  <c r="H1" i="5"/>
  <c r="H1" i="4"/>
  <c r="H1" i="3"/>
  <c r="H1" i="2"/>
  <c r="B15" i="1"/>
  <c r="B14" i="1"/>
  <c r="B13" i="1"/>
  <c r="B12" i="1"/>
  <c r="B11" i="1"/>
  <c r="B10" i="1"/>
  <c r="B9" i="1"/>
  <c r="B8" i="1"/>
  <c r="B7" i="1"/>
  <c r="L18" i="10"/>
  <c r="K18" i="10"/>
  <c r="J18" i="10"/>
  <c r="I18" i="10"/>
  <c r="H18" i="10"/>
  <c r="L17" i="10"/>
  <c r="K17" i="10"/>
  <c r="J17" i="10"/>
  <c r="I17" i="10"/>
  <c r="H17" i="10"/>
  <c r="L16" i="10"/>
  <c r="K16" i="10"/>
  <c r="J16" i="10"/>
  <c r="I16" i="10"/>
  <c r="H16" i="10"/>
  <c r="L15" i="10"/>
  <c r="K15" i="10"/>
  <c r="J15" i="10"/>
  <c r="I15" i="10"/>
  <c r="H15" i="10"/>
  <c r="L14" i="10"/>
  <c r="K14" i="10"/>
  <c r="J14" i="10"/>
  <c r="I14" i="10"/>
  <c r="H14" i="10"/>
  <c r="L13" i="10"/>
  <c r="K13" i="10"/>
  <c r="J13" i="10"/>
  <c r="I13" i="10"/>
  <c r="H13" i="10"/>
  <c r="L12" i="10"/>
  <c r="K12" i="10"/>
  <c r="J12" i="10"/>
  <c r="I12" i="10"/>
  <c r="H12" i="10"/>
  <c r="L11" i="10"/>
  <c r="K11" i="10"/>
  <c r="J11" i="10"/>
  <c r="I11" i="10"/>
  <c r="H11" i="10"/>
  <c r="L10" i="10"/>
  <c r="K10" i="10"/>
  <c r="J10" i="10"/>
  <c r="I10" i="10"/>
  <c r="H10" i="10"/>
  <c r="L9" i="10"/>
  <c r="K9" i="10"/>
  <c r="J9" i="10"/>
  <c r="H9" i="10"/>
  <c r="C11" i="9"/>
  <c r="B11" i="9"/>
  <c r="B24" i="10"/>
  <c r="B23" i="10"/>
  <c r="B22" i="10"/>
  <c r="F12" i="9"/>
  <c r="E12" i="9"/>
  <c r="D12" i="9"/>
  <c r="C12" i="9"/>
  <c r="B12" i="9"/>
  <c r="F11" i="9"/>
  <c r="E11" i="9"/>
  <c r="D11" i="9"/>
  <c r="B22" i="8"/>
  <c r="C10" i="6"/>
  <c r="A24" i="7"/>
  <c r="A23" i="7"/>
  <c r="A22" i="7"/>
  <c r="A21" i="7"/>
  <c r="A20" i="7"/>
  <c r="A19" i="7"/>
  <c r="A18" i="7"/>
  <c r="A17" i="7"/>
  <c r="A16" i="7"/>
  <c r="A15" i="7"/>
  <c r="C11" i="5"/>
  <c r="F9" i="7"/>
  <c r="E9" i="7"/>
  <c r="D9" i="7"/>
  <c r="C9" i="7"/>
  <c r="F19" i="6"/>
  <c r="E19" i="6"/>
  <c r="D19" i="6"/>
  <c r="C19" i="6"/>
  <c r="B19" i="6"/>
  <c r="A19" i="6"/>
  <c r="F18" i="6"/>
  <c r="E18" i="6"/>
  <c r="D18" i="6"/>
  <c r="C18" i="6"/>
  <c r="B18" i="6"/>
  <c r="A18" i="6"/>
  <c r="F17" i="6"/>
  <c r="E17" i="6"/>
  <c r="D17" i="6"/>
  <c r="C17" i="6"/>
  <c r="B17" i="6"/>
  <c r="A17" i="6"/>
  <c r="F16" i="6"/>
  <c r="E16" i="6"/>
  <c r="D16" i="6"/>
  <c r="C16" i="6"/>
  <c r="B16" i="6"/>
  <c r="A16" i="6"/>
  <c r="F15" i="6"/>
  <c r="E15" i="6"/>
  <c r="D15" i="6"/>
  <c r="C15" i="6"/>
  <c r="B15" i="6"/>
  <c r="A15" i="6"/>
  <c r="F14" i="6"/>
  <c r="E14" i="6"/>
  <c r="D14" i="6"/>
  <c r="C14" i="6"/>
  <c r="B14" i="6"/>
  <c r="A14" i="6"/>
  <c r="F13" i="6"/>
  <c r="E13" i="6"/>
  <c r="D13" i="6"/>
  <c r="C13" i="6"/>
  <c r="B13" i="6"/>
  <c r="A13" i="6"/>
  <c r="F12" i="6"/>
  <c r="E12" i="6"/>
  <c r="D12" i="6"/>
  <c r="C12" i="6"/>
  <c r="B12" i="6"/>
  <c r="A12" i="6"/>
  <c r="F11" i="6"/>
  <c r="E11" i="6"/>
  <c r="D11" i="6"/>
  <c r="C11" i="6"/>
  <c r="B11" i="6"/>
  <c r="A11" i="6"/>
  <c r="F10" i="6"/>
  <c r="E10" i="6"/>
  <c r="E22" i="6" s="1"/>
  <c r="D10" i="6"/>
  <c r="A10" i="6"/>
  <c r="B8" i="3"/>
  <c r="F15" i="5"/>
  <c r="E15" i="5"/>
  <c r="D15" i="5"/>
  <c r="C15" i="5"/>
  <c r="B15" i="5"/>
  <c r="F14" i="5"/>
  <c r="E14" i="5"/>
  <c r="D14" i="5"/>
  <c r="C14" i="5"/>
  <c r="B14" i="5"/>
  <c r="F13" i="5"/>
  <c r="E13" i="5"/>
  <c r="D13" i="5"/>
  <c r="C13" i="5"/>
  <c r="B13" i="5"/>
  <c r="F12" i="5"/>
  <c r="E12" i="5"/>
  <c r="D12" i="5"/>
  <c r="C12" i="5"/>
  <c r="B12" i="5"/>
  <c r="F11" i="5"/>
  <c r="E11" i="5"/>
  <c r="D11" i="5"/>
  <c r="F15" i="4"/>
  <c r="E15" i="4"/>
  <c r="D15" i="4"/>
  <c r="C15" i="4"/>
  <c r="B15" i="4"/>
  <c r="F14" i="4"/>
  <c r="E14" i="4"/>
  <c r="D14" i="4"/>
  <c r="C14" i="4"/>
  <c r="B14" i="4"/>
  <c r="F13" i="4"/>
  <c r="E13" i="4"/>
  <c r="D13" i="4"/>
  <c r="C13" i="4"/>
  <c r="B13" i="4"/>
  <c r="F12" i="4"/>
  <c r="E12" i="4"/>
  <c r="D12" i="4"/>
  <c r="C12" i="4"/>
  <c r="B12" i="4"/>
  <c r="F11" i="4"/>
  <c r="E11" i="4"/>
  <c r="D11" i="4"/>
  <c r="C11" i="4"/>
  <c r="B11" i="4"/>
  <c r="F13" i="3"/>
  <c r="F14" i="3" s="1"/>
  <c r="E13" i="3"/>
  <c r="D13" i="3"/>
  <c r="D14" i="3" s="1"/>
  <c r="C13" i="3"/>
  <c r="B13" i="3"/>
  <c r="F12" i="3"/>
  <c r="E12" i="3"/>
  <c r="D12" i="3"/>
  <c r="C12" i="3"/>
  <c r="B12" i="3"/>
  <c r="F11" i="3"/>
  <c r="E11" i="3"/>
  <c r="D11" i="3"/>
  <c r="C11" i="3"/>
  <c r="B11" i="3"/>
  <c r="F10" i="3"/>
  <c r="E10" i="3"/>
  <c r="D10" i="3"/>
  <c r="C10" i="3"/>
  <c r="B10" i="3"/>
  <c r="F9" i="3"/>
  <c r="E9" i="3"/>
  <c r="D9" i="3"/>
  <c r="C9" i="3"/>
  <c r="B9" i="3"/>
  <c r="F8" i="3"/>
  <c r="E8" i="3"/>
  <c r="D8" i="3"/>
  <c r="C8" i="3"/>
  <c r="C23" i="6" l="1"/>
  <c r="B23" i="7" a="1"/>
  <c r="B23" i="7" s="1"/>
  <c r="B13" i="10"/>
  <c r="C24" i="10"/>
  <c r="B24" i="7" a="1"/>
  <c r="B24" i="7" s="1"/>
  <c r="D23" i="6"/>
  <c r="F23" i="6"/>
  <c r="B18" i="7" a="1"/>
  <c r="B18" i="7" s="1"/>
  <c r="B22" i="7" a="1"/>
  <c r="B22" i="7" s="1"/>
  <c r="C14" i="3"/>
  <c r="C22" i="10"/>
  <c r="F22" i="6"/>
  <c r="B17" i="7" a="1"/>
  <c r="B17" i="7" s="1"/>
  <c r="C17" i="7" s="1"/>
  <c r="B21" i="7" a="1"/>
  <c r="B21" i="7" s="1"/>
  <c r="B15" i="7" a="1"/>
  <c r="B15" i="7" s="1"/>
  <c r="C15" i="7" s="1"/>
  <c r="B14" i="3"/>
  <c r="E14" i="3"/>
  <c r="B10" i="8"/>
  <c r="C21" i="8"/>
  <c r="C19" i="8"/>
  <c r="C17" i="8"/>
  <c r="D17" i="8" s="1"/>
  <c r="E23" i="6"/>
  <c r="B18" i="10"/>
  <c r="B16" i="7" a="1"/>
  <c r="B16" i="7" s="1"/>
  <c r="B20" i="7" a="1"/>
  <c r="B20" i="7" s="1"/>
  <c r="D20" i="7" s="1"/>
  <c r="C22" i="6"/>
  <c r="B9" i="10"/>
  <c r="D22" i="6"/>
  <c r="C9" i="10"/>
  <c r="C21" i="10"/>
  <c r="D9" i="10"/>
  <c r="B14" i="10"/>
  <c r="E9" i="10"/>
  <c r="B15" i="10"/>
  <c r="C23" i="10"/>
  <c r="F9" i="10"/>
  <c r="B16" i="10"/>
  <c r="B19" i="7" a="1"/>
  <c r="B19" i="7" s="1"/>
  <c r="D19" i="7" s="1"/>
  <c r="B17" i="10"/>
  <c r="B22" i="6"/>
  <c r="C23" i="7"/>
  <c r="D23" i="7"/>
  <c r="D18" i="7"/>
  <c r="C18" i="7"/>
  <c r="C18" i="8"/>
  <c r="D18" i="8" s="1"/>
  <c r="D19" i="8" s="1"/>
  <c r="C20" i="8"/>
  <c r="D15" i="7"/>
  <c r="B23" i="6"/>
  <c r="D22" i="7"/>
  <c r="C22" i="7"/>
  <c r="D16" i="7"/>
  <c r="C16" i="7"/>
  <c r="C19" i="7"/>
  <c r="C20" i="7"/>
  <c r="C21" i="7"/>
  <c r="D21" i="7"/>
  <c r="D24" i="7"/>
  <c r="C24" i="7"/>
  <c r="D17" i="7"/>
  <c r="D20" i="8" l="1"/>
  <c r="D21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<sst xmlns="http://schemas.openxmlformats.org/spreadsheetml/2006/main" count="224" uniqueCount="169">
  <si>
    <t>Multivariate Data Analysis — Overview</t>
  </si>
  <si>
    <t>What is Multivariate Analysis?</t>
  </si>
  <si>
    <t>Multivariate data analysis (MVA) studies datasets with two or more variables measured per observation. It explores joint behavior: how variables co-vary, how observations cluster, and how dimensions can be reduced or predicted.</t>
  </si>
  <si>
    <t>Key Aspects Covered in This Workbook</t>
  </si>
  <si>
    <t>• Descriptive statistics (means, variances per variable)</t>
  </si>
  <si>
    <t>• Covariance matrix — direction &amp; magnitude of joint variation</t>
  </si>
  <si>
    <t>• Correlation matrix — scale-free strength of linear association</t>
  </si>
  <si>
    <t>• Standardization (Z-scores) — putting variables on a common scale</t>
  </si>
  <si>
    <t>• Mahalanobis distance — multivariate distance accounting for covariance</t>
  </si>
  <si>
    <t>• Principal Component Analysis (PCA) — dimensionality reduction</t>
  </si>
  <si>
    <t>• Multivariate normality &amp; outlier detection</t>
  </si>
  <si>
    <t>• Multiple linear regression — predicting one variable from many</t>
  </si>
  <si>
    <t>Sample Dataset (used throughout)</t>
  </si>
  <si>
    <t>10 observations × 5 variables. All other sheets reference this block.</t>
  </si>
  <si>
    <t>Obs</t>
  </si>
  <si>
    <t>X1</t>
  </si>
  <si>
    <t>X2</t>
  </si>
  <si>
    <t>X3</t>
  </si>
  <si>
    <t>X4</t>
  </si>
  <si>
    <t>X5</t>
  </si>
  <si>
    <t>Variable Legend</t>
  </si>
  <si>
    <t>X1: Hours studied / week</t>
  </si>
  <si>
    <t>X2: Practice problems solved</t>
  </si>
  <si>
    <t>X3: Sleep (hrs/night)</t>
  </si>
  <si>
    <t>X4: Exam score</t>
  </si>
  <si>
    <t>X5: Stress level (1-10)</t>
  </si>
  <si>
    <t>Descriptive Statistics</t>
  </si>
  <si>
    <t>Notes</t>
  </si>
  <si>
    <t>Before any multivariate technique, summarize each variable: central tendency (mean, median), spread (variance, std dev), and shape (min, max, range). These per-variable stats are the diagonal building blocks of the covariance matrix.</t>
  </si>
  <si>
    <t>Variance formula (sample): s² = Σ(xi − x̄)² / (n − 1). Std dev = √variance.</t>
  </si>
  <si>
    <t>Statistic</t>
  </si>
  <si>
    <t>Mean</t>
  </si>
  <si>
    <t>Median</t>
  </si>
  <si>
    <t>Variance (s²)</t>
  </si>
  <si>
    <t>Std Dev (s)</t>
  </si>
  <si>
    <t>Min</t>
  </si>
  <si>
    <t>Max</t>
  </si>
  <si>
    <t>Range</t>
  </si>
  <si>
    <t>Interpretation</t>
  </si>
  <si>
    <t>Note that variances differ wildly across variables (X4 score variance ≫ X3 sleep variance). This scale mismatch is exactly why correlation matrices and standardization are needed before techniques like PCA.</t>
  </si>
  <si>
    <t>Covariance Matrix</t>
  </si>
  <si>
    <t>Covariance measures how two variables vary jointly. Positive → they move together; negative → opposite directions; zero → no linear co-movement.</t>
  </si>
  <si>
    <t>Sample covariance: cov(X,Y) = Σ(xi − x̄)(yi − ȳ) / (n − 1)</t>
  </si>
  <si>
    <t>The covariance MATRIX Σ is symmetric. Diagonal entries are variances of each variable; off-diagonals are covariances between pairs.</t>
  </si>
  <si>
    <t>Covariance Matrix Σ (5×5)</t>
  </si>
  <si>
    <t>How to read it</t>
  </si>
  <si>
    <t>• Diagonal = variance of each variable (same as in sheet 2).</t>
  </si>
  <si>
    <t>• Symmetric: cov(Xi,Xj) = cov(Xj,Xi).</t>
  </si>
  <si>
    <t>• Sign matters more than magnitude here: e.g., X5 (stress) shows negative covariance with X4 (score) — they move in opposite directions.</t>
  </si>
  <si>
    <t>• To compare strengths across pairs, normalize → correlation matrix (next sheet).</t>
  </si>
  <si>
    <t>Correlation Matrix</t>
  </si>
  <si>
    <t>Pearson correlation r = cov(X,Y) / (s_X · s_Y). It is the covariance rescaled so that −1 ≤ r ≤ +1.</t>
  </si>
  <si>
    <t>• r = +1: perfect positive linear relationship  • r = −1: perfect negative  • r ≈ 0: no linear relationship (could still be non-linear)</t>
  </si>
  <si>
    <t>The correlation MATRIX R is symmetric with 1's on the diagonal. It is the covariance matrix of the STANDARDIZED variables.</t>
  </si>
  <si>
    <t>Rule of thumb: |r| &lt; 0.3 weak, 0.3–0.7 moderate, &gt; 0.7 strong. Always confirm with a scatterplot — correlation is blind to non-linearity and outliers.</t>
  </si>
  <si>
    <t>Correlation Matrix R (5×5)</t>
  </si>
  <si>
    <t>Visual Heatmap (sign + strength)</t>
  </si>
  <si>
    <t>Conditional formatting is applied to B11:F15: strong + green, strong − red, near zero pale.</t>
  </si>
  <si>
    <t>• X1, X2, X3, X4 are all strongly positively correlated — study time, practice, sleep, and score rise together.</t>
  </si>
  <si>
    <t>• X5 (stress) is strongly negatively correlated with the others — higher stress ↔ lower performance.</t>
  </si>
  <si>
    <t>• Such high inter-correlations are a hint that the data is effectively low-dimensional → motivates PCA (sheet 7).</t>
  </si>
  <si>
    <t>Standardization (Z-scores)</t>
  </si>
  <si>
    <t>Standardization rescales each variable to have mean 0 and std dev 1: z_i = (x_i − x̄) / s.</t>
  </si>
  <si>
    <t>Why: when variables are on different units (e.g., score 0–100 vs sleep 0–10), the variable with the largest numeric scale dominates distance-based or eigen-based methods. Standardizing removes that bias.</t>
  </si>
  <si>
    <t>Key fact: the covariance matrix of the standardized data is exactly the correlation matrix of the raw data.</t>
  </si>
  <si>
    <t>Z-Scores</t>
  </si>
  <si>
    <t>Z(X1)</t>
  </si>
  <si>
    <t>Z(X2)</t>
  </si>
  <si>
    <t>Z(X3)</t>
  </si>
  <si>
    <t>Z(X4)</t>
  </si>
  <si>
    <t>Z(X5)</t>
  </si>
  <si>
    <t>Verification</t>
  </si>
  <si>
    <t>Mean (should be 0):</t>
  </si>
  <si>
    <t>Std Dev (should be 1):</t>
  </si>
  <si>
    <t>Mahalanobis Distance</t>
  </si>
  <si>
    <t>Mahalanobis distance d_M(x) = √[ (x − μ)ᵀ · Σ⁻¹ · (x − μ) ]</t>
  </si>
  <si>
    <t>It measures how far an observation is from the mean vector, ACCOUNTING for the covariance structure. Unlike Euclidean distance, it (a) is scale-invariant, and (b) treats correlated dimensions as a single direction.</t>
  </si>
  <si>
    <t>Used for multivariate outlier detection: under multivariate normality, d_M² follows a χ² distribution with p degrees of freedom (here p=5). Observations with d_M² &gt; χ²(0.975, p) are flagged.</t>
  </si>
  <si>
    <t>Mean vector μ</t>
  </si>
  <si>
    <t>Outlier?</t>
  </si>
  <si>
    <t>Threshold</t>
  </si>
  <si>
    <t>χ²(0.975, df=5):</t>
  </si>
  <si>
    <r>
      <t xml:space="preserve">Caveat: covariance magnitude depends on the units of the variables — you cannot compare cov(X1,X2)=23.4 to cov(X3,X4)=2.1 directly. </t>
    </r>
    <r>
      <rPr>
        <b/>
        <sz val="22"/>
        <color rgb="FF0432FF"/>
        <rFont val="Aptos Narrow (Body)"/>
      </rPr>
      <t>Use the correlation matrix for that.</t>
    </r>
  </si>
  <si>
    <t>Per-observation Mahalanobis distance</t>
  </si>
  <si>
    <t>Note: With only 10 obs and 5 highly-correlated variables, Σ is near-singular. We compute d² = zᵀ R⁻¹ z using the correlation matrix R from sheet 4.</t>
  </si>
  <si>
    <t>d²</t>
  </si>
  <si>
    <t>d</t>
  </si>
  <si>
    <t>Observations with d² above this are flagged as outliers.</t>
  </si>
  <si>
    <t>Principal Component Analysis (PCA)</t>
  </si>
  <si>
    <t>PCA finds new uncorrelated axes (principal components) that capture maximum variance in the data. Each PC is a linear combination of the original variables.</t>
  </si>
  <si>
    <t>Steps: (1) standardize variables, (2) compute correlation matrix R, (3) find eigenvalues λᵢ and eigenvectors vᵢ of R, (4) sort by λ descending, (5) PC_i = X_std · v_i.</t>
  </si>
  <si>
    <t>Key facts: Σλᵢ = p (number of variables). Proportion of variance explained by PC_i = λᵢ / p. Cumulative proportion shows how few PCs you need.</t>
  </si>
  <si>
    <t>Use cases: dimensionality reduction, visualization (project onto PC1–PC2), removing multicollinearity before regression, noise filtering.</t>
  </si>
  <si>
    <t>Total variance check</t>
  </si>
  <si>
    <t>Trace(R) = sum of diagonal of correlation matrix = p:</t>
  </si>
  <si>
    <t>This equals the sum of all eigenvalues. For our standardized 5-variable data, total variance = 5.</t>
  </si>
  <si>
    <t>Eigenvalue Sketch (numerical estimate)</t>
  </si>
  <si>
    <t>Excel has no built-in eigenvalue function. For our data (very high correlations among X1–X5), PC1 dominates. Approximate values shown below were derived numerically; you can verify trace(R) = 5 ≈ sum of λ.</t>
  </si>
  <si>
    <t>PC</t>
  </si>
  <si>
    <t>Eigenvalue λ</t>
  </si>
  <si>
    <t>% Variance</t>
  </si>
  <si>
    <t>Cumulative %</t>
  </si>
  <si>
    <t>PC1</t>
  </si>
  <si>
    <t>PC2</t>
  </si>
  <si>
    <t>PC3</t>
  </si>
  <si>
    <t>PC4</t>
  </si>
  <si>
    <t>PC5</t>
  </si>
  <si>
    <t>Sum</t>
  </si>
  <si>
    <t>• PC1 captures ~99% of total variance → the 5 variables effectively measure one underlying construct ("academic engagement").</t>
  </si>
  <si>
    <t>• PC1 loadings would be roughly (+,+,+,+,−) reflecting that X1–X4 align positively and X5 (stress) opposite.</t>
  </si>
  <si>
    <t>• Practical takeaway: instead of 5 variables, you can summarize each student with a single PC1 score with minimal information loss.</t>
  </si>
  <si>
    <t>• Scree-plot rule: keep PCs with λ &gt; 1 (Kaiser criterion) or until cumulative % &gt; 80–90%.</t>
  </si>
  <si>
    <t>How to do eigen-decomposition in Excel</t>
  </si>
  <si>
    <t>Native Excel lacks eigen/SVD. Options: (a) Solver (iterate to find v that maximizes vᵀRv subject to ‖v‖=1), (b) Power iteration via a column of repeated MMULT operations, (c) Analysis ToolPak does not include PCA — third-party add-ins or Python/R recommended for real work.</t>
  </si>
  <si>
    <t>Multivariate Normality &amp; Outlier Detection</t>
  </si>
  <si>
    <t>Why it matters</t>
  </si>
  <si>
    <t>Many multivariate techniques (MANOVA, LDA, Hotelling's T², confidence ellipsoids, parametric outlier tests) assume the data follow a multivariate normal distribution.</t>
  </si>
  <si>
    <t>Even when assumptions are mild (PCA, regression), gross deviations from normality — especially heavy tails and outliers — distort the covariance matrix and cascade into every downstream result.</t>
  </si>
  <si>
    <t>Univariate checks per variable</t>
  </si>
  <si>
    <t>First step: each variable individually should look approximately normal. Skewness near 0, kurtosis near 0 (excess kurtosis).</t>
  </si>
  <si>
    <t>Skewness</t>
  </si>
  <si>
    <t>Kurtosis (excess)</t>
  </si>
  <si>
    <t>Rule of thumb: |skewness| &lt; 1 and |excess kurtosis| &lt; 1 is acceptable for normality. Formal tests (Shapiro-Wilk, Anderson-Darling) are not native to Excel.</t>
  </si>
  <si>
    <t>Multivariate outliers</t>
  </si>
  <si>
    <t>Univariate outlier checks (z &gt; 3) miss observations that are normal in each variable separately but unusual in combination. Use Mahalanobis distance (sheet 6) for the multivariate check.</t>
  </si>
  <si>
    <t>Common remedies</t>
  </si>
  <si>
    <t>• Log/Box-Cox transform skewed variables</t>
  </si>
  <si>
    <t>• Winsorize / cap extreme values</t>
  </si>
  <si>
    <t>• Robust covariance estimators (MCD, MVE) when outliers are present</t>
  </si>
  <si>
    <t>• If non-normality persists, switch to non-parametric or rank-based methods</t>
  </si>
  <si>
    <t>Multiple Linear Regression</t>
  </si>
  <si>
    <t>Model: Y = β₀ + β₁X₁ + β₂X₂ + … + β_p X_p + ε. Estimated via OLS: β̂ = (XᵀX)⁻¹ Xᵀ y.</t>
  </si>
  <si>
    <t>Here we predict Y = X4 (exam score) from the other four variables X1, X2, X3, X5. Excel's LINEST returns all coefficients and diagnostics in one array formula.</t>
  </si>
  <si>
    <t>LINEST output — select B9:E13 and use as array formula, or read values below.</t>
  </si>
  <si>
    <t>Coefficients are returned in REVERSE order: X5, X3, X2, X1 → read right-to-left vs the input columns.</t>
  </si>
  <si>
    <t>Coef X5 → X1</t>
  </si>
  <si>
    <t>Variable</t>
  </si>
  <si>
    <t>Intercept</t>
  </si>
  <si>
    <t>Goodness of fit</t>
  </si>
  <si>
    <t>R²</t>
  </si>
  <si>
    <t>Std error of estimate</t>
  </si>
  <si>
    <t>F statistic</t>
  </si>
  <si>
    <t>df residual</t>
  </si>
  <si>
    <t>SS regression</t>
  </si>
  <si>
    <t>SS residual</t>
  </si>
  <si>
    <t>Individual correlations with Y=X4 (univariate baseline)</t>
  </si>
  <si>
    <t>Pearson r(X1,X4)</t>
  </si>
  <si>
    <t>Pearson r(X2,X4)</t>
  </si>
  <si>
    <t>Pearson r(X3,X4)</t>
  </si>
  <si>
    <t>Pearson r(X5,X4)</t>
  </si>
  <si>
    <t>• Multivariate regression jointly estimates each predictor's effect controlling for the others.</t>
  </si>
  <si>
    <t>• R² measures total variance in Y explained by all predictors combined.</t>
  </si>
  <si>
    <t>• Caveat — multicollinearity: when predictors are highly correlated (as in our data), individual coefficients become unstable. Diagnose via VIF; remedy via PCA-on-predictors or ridge regression.</t>
  </si>
  <si>
    <t>Y=X4</t>
  </si>
  <si>
    <t>Predictor block</t>
  </si>
  <si>
    <t>Multivariate Data Analysis</t>
  </si>
  <si>
    <t>Illustrations, notes &amp; worked examples — click any link below to jump to a section.</t>
  </si>
  <si>
    <t>Table of Contents</t>
  </si>
  <si>
    <t>What you'll find</t>
  </si>
  <si>
    <t>Intro to MVA + the 10×5 dataset used across all sheets</t>
  </si>
  <si>
    <t>Mean, median, variance, std dev, range per variable</t>
  </si>
  <si>
    <t>Joint variation; full 5×5 Σ with formulas</t>
  </si>
  <si>
    <t>Scale-free strength of association + color heatmap</t>
  </si>
  <si>
    <t>Rescale variables to mean 0, sd 1 — prerequisite for PCA/distance</t>
  </si>
  <si>
    <t>Multivariate distance + χ² outlier test per observation</t>
  </si>
  <si>
    <t>Eigenvalues, variance explained, dimensionality reduction</t>
  </si>
  <si>
    <t>Skewness, kurtosis, multivariate outlier strategy</t>
  </si>
  <si>
    <t>OLS via LINEST: coefficients, R², F-stat, multicollinearity</t>
  </si>
  <si>
    <t>Tip: each sheet's calculations link back to the source dataset on the Overview sheet — change a value there and everything recomputes.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</si>
</sst>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%"/>
    <numFmt numFmtId="170" formatCode="0.00000"/>
  </numFmts>
  <fonts count="15" x14ac:knownFonts="1"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22"/>
      <color rgb="FFFFFFFF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2"/>
      <color rgb="FF0432FF"/>
      <name val="Aptos Narrow"/>
      <family val="2"/>
      <scheme val="minor"/>
    </font>
    <font>
      <b/>
      <sz val="22"/>
      <color rgb="FF0432FF"/>
      <name val="Aptos Narrow"/>
      <scheme val="minor"/>
    </font>
    <font>
      <b/>
      <sz val="22"/>
      <color rgb="FF0432FF"/>
      <name val="Aptos Narrow (Body)"/>
    </font>
    <font>
      <b/>
      <sz val="22"/>
      <color rgb="FF0432FF"/>
      <name val="Aptos Narrow"/>
      <family val="2"/>
      <scheme val="minor"/>
    </font>
    <font>
      <b/>
      <sz val="22"/>
      <color rgb="FFC00000"/>
      <name val="Aptos Narrow"/>
      <family val="2"/>
      <scheme val="minor"/>
    </font>
    <font>
      <i/>
      <sz val="22"/>
      <color theme="1"/>
      <name val="Aptos Narrow"/>
      <family val="2"/>
      <scheme val="minor"/>
    </font>
    <font>
      <i/>
      <sz val="22"/>
      <color rgb="FF595959"/>
      <name val="Aptos Narrow"/>
      <family val="2"/>
      <scheme val="minor"/>
    </font>
    <font>
      <b/>
      <u/>
      <sz val="12"/>
      <color rgb="FF0563C1"/>
      <name val="Aptos Narrow"/>
      <family val="2"/>
      <scheme val="minor"/>
    </font>
    <font>
      <b/>
      <u/>
      <sz val="22"/>
      <color rgb="FF0563C1"/>
      <name val="Aptos Narrow"/>
      <family val="2"/>
      <scheme val="minor"/>
    </font>
    <font>
      <b/>
      <sz val="22"/>
      <color rgb="FF1F4E7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3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/>
    <xf numFmtId="164" fontId="1" fillId="0" borderId="0" xfId="0" applyNumberFormat="1" applyFont="1"/>
    <xf numFmtId="0" fontId="4" fillId="3" borderId="0" xfId="0" applyFont="1" applyFill="1" applyAlignment="1">
      <alignment horizontal="center" vertical="center" wrapText="1"/>
    </xf>
    <xf numFmtId="0" fontId="8" fillId="3" borderId="0" xfId="0" applyFont="1" applyFill="1"/>
    <xf numFmtId="0" fontId="8" fillId="3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2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165" fontId="1" fillId="0" borderId="0" xfId="0" applyNumberFormat="1" applyFont="1"/>
    <xf numFmtId="0" fontId="9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center" wrapText="1"/>
    </xf>
    <xf numFmtId="166" fontId="1" fillId="0" borderId="0" xfId="0" applyNumberFormat="1" applyFont="1"/>
    <xf numFmtId="164" fontId="4" fillId="0" borderId="0" xfId="0" applyNumberFormat="1" applyFont="1"/>
    <xf numFmtId="0" fontId="10" fillId="0" borderId="0" xfId="0" applyFont="1"/>
    <xf numFmtId="1" fontId="1" fillId="0" borderId="0" xfId="0" applyNumberFormat="1" applyFont="1"/>
    <xf numFmtId="0" fontId="11" fillId="0" borderId="0" xfId="0" applyFont="1"/>
    <xf numFmtId="0" fontId="12" fillId="0" borderId="0" xfId="1" applyFont="1"/>
    <xf numFmtId="0" fontId="13" fillId="2" borderId="0" xfId="0" applyFont="1" applyFill="1" applyAlignment="1">
      <alignment horizontal="center" vertical="center" wrapText="1"/>
    </xf>
    <xf numFmtId="0" fontId="14" fillId="0" borderId="0" xfId="0" applyFont="1"/>
    <xf numFmtId="0" fontId="13" fillId="0" borderId="0" xfId="1" applyFont="1"/>
    <xf numFmtId="0" fontId="8" fillId="5" borderId="0" xfId="0" applyFont="1" applyFill="1"/>
    <xf numFmtId="0" fontId="1" fillId="6" borderId="0" xfId="0" applyFont="1" applyFill="1"/>
    <xf numFmtId="0" fontId="1" fillId="7" borderId="0" xfId="0" applyFont="1" applyFill="1"/>
    <xf numFmtId="170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3E2B2F0-535C-6C40-88CA-235B6A7BF0E7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1a4c791b-d06c-4e3a-89f8-90a4df40daa2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3BFE-B76E-D24F-9954-A508803B9312}">
  <sheetPr>
    <tabColor rgb="FF1F4E78"/>
  </sheetPr>
  <dimension ref="B2:C17"/>
  <sheetViews>
    <sheetView workbookViewId="0">
      <selection activeCell="B16" sqref="B16"/>
    </sheetView>
  </sheetViews>
  <sheetFormatPr baseColWidth="10" defaultRowHeight="29" x14ac:dyDescent="0.35"/>
  <cols>
    <col min="1" max="1" width="3.33203125" style="1" customWidth="1"/>
    <col min="2" max="2" width="43.33203125" style="1" customWidth="1"/>
    <col min="3" max="3" width="63.33203125" style="1" customWidth="1"/>
    <col min="4" max="16384" width="10.83203125" style="1"/>
  </cols>
  <sheetData>
    <row r="2" spans="2:3" x14ac:dyDescent="0.35">
      <c r="B2" s="30" t="s">
        <v>155</v>
      </c>
    </row>
    <row r="3" spans="2:3" x14ac:dyDescent="0.35">
      <c r="B3" s="27" t="s">
        <v>156</v>
      </c>
    </row>
    <row r="5" spans="2:3" x14ac:dyDescent="0.35">
      <c r="B5" s="2" t="s">
        <v>157</v>
      </c>
      <c r="C5" s="2" t="s">
        <v>158</v>
      </c>
    </row>
    <row r="7" spans="2:3" x14ac:dyDescent="0.35">
      <c r="B7" s="31" t="str">
        <f>HYPERLINK("#'1_Overview'!A1","1. Overview &amp; Sample Dataset")</f>
        <v>1. Overview &amp; Sample Dataset</v>
      </c>
      <c r="C7" s="1" t="s">
        <v>159</v>
      </c>
    </row>
    <row r="8" spans="2:3" x14ac:dyDescent="0.35">
      <c r="B8" s="31" t="str">
        <f>HYPERLINK("#'2_DescriptiveStats'!A1","2. Descriptive Statistics")</f>
        <v>2. Descriptive Statistics</v>
      </c>
      <c r="C8" s="1" t="s">
        <v>160</v>
      </c>
    </row>
    <row r="9" spans="2:3" x14ac:dyDescent="0.35">
      <c r="B9" s="31" t="str">
        <f>HYPERLINK("#'3_Covariance'!A1","3. Covariance Matrix")</f>
        <v>3. Covariance Matrix</v>
      </c>
      <c r="C9" s="1" t="s">
        <v>161</v>
      </c>
    </row>
    <row r="10" spans="2:3" x14ac:dyDescent="0.35">
      <c r="B10" s="31" t="str">
        <f>HYPERLINK("#'4_Correlation'!A1","4. Correlation Matrix")</f>
        <v>4. Correlation Matrix</v>
      </c>
      <c r="C10" s="1" t="s">
        <v>162</v>
      </c>
    </row>
    <row r="11" spans="2:3" x14ac:dyDescent="0.35">
      <c r="B11" s="31" t="str">
        <f>HYPERLINK("#'5_Standardization'!A1","5. Standardization (Z-scores)")</f>
        <v>5. Standardization (Z-scores)</v>
      </c>
      <c r="C11" s="1" t="s">
        <v>163</v>
      </c>
    </row>
    <row r="12" spans="2:3" x14ac:dyDescent="0.35">
      <c r="B12" s="31" t="str">
        <f>HYPERLINK("#'6_Mahalanobis'!A1","6. Mahalanobis Distance")</f>
        <v>6. Mahalanobis Distance</v>
      </c>
      <c r="C12" s="1" t="s">
        <v>164</v>
      </c>
    </row>
    <row r="13" spans="2:3" x14ac:dyDescent="0.35">
      <c r="B13" s="31" t="str">
        <f>HYPERLINK("#'7_PCA'!A1","7. Principal Component Analysis")</f>
        <v>7. Principal Component Analysis</v>
      </c>
      <c r="C13" s="1" t="s">
        <v>165</v>
      </c>
    </row>
    <row r="14" spans="2:3" x14ac:dyDescent="0.35">
      <c r="B14" s="31" t="str">
        <f>HYPERLINK("#'8_Normality_Outliers'!A1","8. Multivariate Normality &amp; Outliers")</f>
        <v>8. Multivariate Normality &amp; Outliers</v>
      </c>
      <c r="C14" s="1" t="s">
        <v>166</v>
      </c>
    </row>
    <row r="15" spans="2:3" x14ac:dyDescent="0.35">
      <c r="B15" s="31" t="str">
        <f>HYPERLINK("#'9_Regression'!A1","9. Multiple Linear Regression")</f>
        <v>9. Multiple Linear Regression</v>
      </c>
      <c r="C15" s="1" t="s">
        <v>167</v>
      </c>
    </row>
    <row r="17" spans="2:2" x14ac:dyDescent="0.35">
      <c r="B17" s="27" t="s">
        <v>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F743-2973-8748-9661-D917FB003CFF}">
  <sheetPr>
    <tabColor rgb="FF2E75B6"/>
  </sheetPr>
  <dimension ref="A1:H36"/>
  <sheetViews>
    <sheetView topLeftCell="A12" workbookViewId="0">
      <selection activeCell="A36" sqref="A36"/>
    </sheetView>
  </sheetViews>
  <sheetFormatPr baseColWidth="10" defaultRowHeight="29" x14ac:dyDescent="0.35"/>
  <cols>
    <col min="1" max="1" width="49.33203125" style="1" customWidth="1"/>
    <col min="2" max="6" width="18.33203125" style="1" customWidth="1"/>
    <col min="7" max="16384" width="10.83203125" style="1"/>
  </cols>
  <sheetData>
    <row r="1" spans="1:8" x14ac:dyDescent="0.35">
      <c r="A1" s="5" t="s">
        <v>0</v>
      </c>
      <c r="B1" s="5"/>
      <c r="C1" s="5"/>
      <c r="D1" s="5"/>
      <c r="E1" s="5"/>
      <c r="F1" s="5"/>
      <c r="H1" s="28" t="str">
        <f>HYPERLINK("#Sheet1!B5","← Back to TOC")</f>
        <v>← Back to TOC</v>
      </c>
    </row>
    <row r="3" spans="1:8" x14ac:dyDescent="0.35">
      <c r="A3" s="3" t="s">
        <v>1</v>
      </c>
    </row>
    <row r="4" spans="1:8" ht="135" customHeight="1" x14ac:dyDescent="0.35">
      <c r="A4" s="8" t="s">
        <v>2</v>
      </c>
      <c r="B4" s="8"/>
      <c r="C4" s="8"/>
      <c r="D4" s="8"/>
      <c r="E4" s="8"/>
      <c r="F4" s="8"/>
    </row>
    <row r="6" spans="1:8" ht="45" customHeight="1" x14ac:dyDescent="0.35">
      <c r="A6" s="5" t="s">
        <v>3</v>
      </c>
      <c r="B6" s="5"/>
      <c r="C6" s="5"/>
      <c r="D6" s="5"/>
      <c r="E6" s="5"/>
      <c r="F6" s="5"/>
    </row>
    <row r="7" spans="1:8" x14ac:dyDescent="0.35">
      <c r="A7" s="1" t="s">
        <v>4</v>
      </c>
    </row>
    <row r="8" spans="1:8" x14ac:dyDescent="0.35">
      <c r="A8" s="1" t="s">
        <v>5</v>
      </c>
    </row>
    <row r="9" spans="1:8" x14ac:dyDescent="0.35">
      <c r="A9" s="1" t="s">
        <v>6</v>
      </c>
    </row>
    <row r="10" spans="1:8" x14ac:dyDescent="0.35">
      <c r="A10" s="1" t="s">
        <v>7</v>
      </c>
    </row>
    <row r="11" spans="1:8" x14ac:dyDescent="0.35">
      <c r="A11" s="1" t="s">
        <v>8</v>
      </c>
    </row>
    <row r="12" spans="1:8" x14ac:dyDescent="0.35">
      <c r="A12" s="1" t="s">
        <v>9</v>
      </c>
    </row>
    <row r="13" spans="1:8" x14ac:dyDescent="0.35">
      <c r="A13" s="1" t="s">
        <v>10</v>
      </c>
    </row>
    <row r="14" spans="1:8" x14ac:dyDescent="0.35">
      <c r="A14" s="1" t="s">
        <v>11</v>
      </c>
    </row>
    <row r="16" spans="1:8" x14ac:dyDescent="0.35">
      <c r="A16" s="3" t="s">
        <v>12</v>
      </c>
    </row>
    <row r="17" spans="1:6" x14ac:dyDescent="0.35">
      <c r="A17" s="1" t="s">
        <v>13</v>
      </c>
    </row>
    <row r="19" spans="1:6" x14ac:dyDescent="0.35">
      <c r="A19" s="4" t="s">
        <v>14</v>
      </c>
      <c r="B19" s="4" t="s">
        <v>15</v>
      </c>
      <c r="C19" s="4" t="s">
        <v>16</v>
      </c>
      <c r="D19" s="4" t="s">
        <v>17</v>
      </c>
      <c r="E19" s="4" t="s">
        <v>18</v>
      </c>
      <c r="F19" s="4" t="s">
        <v>19</v>
      </c>
    </row>
    <row r="20" spans="1:6" x14ac:dyDescent="0.35">
      <c r="A20" s="1">
        <v>1</v>
      </c>
      <c r="B20" s="1">
        <v>12</v>
      </c>
      <c r="C20" s="1">
        <v>45</v>
      </c>
      <c r="D20" s="1">
        <v>3.2</v>
      </c>
      <c r="E20" s="1">
        <v>88</v>
      </c>
      <c r="F20" s="1">
        <v>7.1</v>
      </c>
    </row>
    <row r="21" spans="1:6" x14ac:dyDescent="0.35">
      <c r="A21" s="1">
        <v>2</v>
      </c>
      <c r="B21" s="1">
        <v>15</v>
      </c>
      <c r="C21" s="1">
        <v>52</v>
      </c>
      <c r="D21" s="1">
        <v>3.8</v>
      </c>
      <c r="E21" s="1">
        <v>92</v>
      </c>
      <c r="F21" s="1">
        <v>6.8</v>
      </c>
    </row>
    <row r="22" spans="1:6" x14ac:dyDescent="0.35">
      <c r="A22" s="1">
        <v>3</v>
      </c>
      <c r="B22" s="1">
        <v>11</v>
      </c>
      <c r="C22" s="1">
        <v>41</v>
      </c>
      <c r="D22" s="1">
        <v>2.9</v>
      </c>
      <c r="E22" s="1">
        <v>85</v>
      </c>
      <c r="F22" s="1">
        <v>7.4</v>
      </c>
    </row>
    <row r="23" spans="1:6" x14ac:dyDescent="0.35">
      <c r="A23" s="1">
        <v>4</v>
      </c>
      <c r="B23" s="1">
        <v>18</v>
      </c>
      <c r="C23" s="1">
        <v>60</v>
      </c>
      <c r="D23" s="1">
        <v>4.5</v>
      </c>
      <c r="E23" s="1">
        <v>95</v>
      </c>
      <c r="F23" s="1">
        <v>6.2</v>
      </c>
    </row>
    <row r="24" spans="1:6" x14ac:dyDescent="0.35">
      <c r="A24" s="1">
        <v>5</v>
      </c>
      <c r="B24" s="1">
        <v>14</v>
      </c>
      <c r="C24" s="1">
        <v>48</v>
      </c>
      <c r="D24" s="1">
        <v>3.5</v>
      </c>
      <c r="E24" s="1">
        <v>90</v>
      </c>
      <c r="F24" s="1">
        <v>7</v>
      </c>
    </row>
    <row r="25" spans="1:6" x14ac:dyDescent="0.35">
      <c r="A25" s="1">
        <v>6</v>
      </c>
      <c r="B25" s="1">
        <v>20</v>
      </c>
      <c r="C25" s="1">
        <v>65</v>
      </c>
      <c r="D25" s="1">
        <v>5.0999999999999996</v>
      </c>
      <c r="E25" s="1">
        <v>98</v>
      </c>
      <c r="F25" s="1">
        <v>5.9</v>
      </c>
    </row>
    <row r="26" spans="1:6" x14ac:dyDescent="0.35">
      <c r="A26" s="1">
        <v>7</v>
      </c>
      <c r="B26" s="1">
        <v>13</v>
      </c>
      <c r="C26" s="1">
        <v>47</v>
      </c>
      <c r="D26" s="1">
        <v>3.3</v>
      </c>
      <c r="E26" s="1">
        <v>87</v>
      </c>
      <c r="F26" s="1">
        <v>7.2</v>
      </c>
    </row>
    <row r="27" spans="1:6" x14ac:dyDescent="0.35">
      <c r="A27" s="1">
        <v>8</v>
      </c>
      <c r="B27" s="1">
        <v>16</v>
      </c>
      <c r="C27" s="1">
        <v>55</v>
      </c>
      <c r="D27" s="1">
        <v>4</v>
      </c>
      <c r="E27" s="1">
        <v>93</v>
      </c>
      <c r="F27" s="1">
        <v>6.5</v>
      </c>
    </row>
    <row r="28" spans="1:6" x14ac:dyDescent="0.35">
      <c r="A28" s="1">
        <v>9</v>
      </c>
      <c r="B28" s="1">
        <v>17</v>
      </c>
      <c r="C28" s="1">
        <v>58</v>
      </c>
      <c r="D28" s="1">
        <v>4.2</v>
      </c>
      <c r="E28" s="1">
        <v>94</v>
      </c>
      <c r="F28" s="1">
        <v>6.4</v>
      </c>
    </row>
    <row r="29" spans="1:6" x14ac:dyDescent="0.35">
      <c r="A29" s="1">
        <v>10</v>
      </c>
      <c r="B29" s="1">
        <v>19</v>
      </c>
      <c r="C29" s="1">
        <v>62</v>
      </c>
      <c r="D29" s="1">
        <v>4.8</v>
      </c>
      <c r="E29" s="1">
        <v>96</v>
      </c>
      <c r="F29" s="1">
        <v>6</v>
      </c>
    </row>
    <row r="31" spans="1:6" x14ac:dyDescent="0.35">
      <c r="A31" s="3" t="s">
        <v>20</v>
      </c>
    </row>
    <row r="32" spans="1:6" x14ac:dyDescent="0.35">
      <c r="A32" s="1" t="s">
        <v>21</v>
      </c>
    </row>
    <row r="33" spans="1:1" x14ac:dyDescent="0.35">
      <c r="A33" s="1" t="s">
        <v>22</v>
      </c>
    </row>
    <row r="34" spans="1:1" x14ac:dyDescent="0.35">
      <c r="A34" s="1" t="s">
        <v>23</v>
      </c>
    </row>
    <row r="35" spans="1:1" x14ac:dyDescent="0.35">
      <c r="A35" s="1" t="s">
        <v>24</v>
      </c>
    </row>
    <row r="36" spans="1:1" x14ac:dyDescent="0.35">
      <c r="A36" s="1" t="s">
        <v>25</v>
      </c>
    </row>
  </sheetData>
  <mergeCells count="3">
    <mergeCell ref="A1:F1"/>
    <mergeCell ref="A4:F4"/>
    <mergeCell ref="A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2A2F9-BCFE-2749-AA83-8DDD98DBBA73}">
  <sheetPr>
    <tabColor rgb="FF4472C4"/>
  </sheetPr>
  <dimension ref="A1:H17"/>
  <sheetViews>
    <sheetView topLeftCell="A2" workbookViewId="0">
      <selection activeCell="A17" sqref="A17"/>
    </sheetView>
  </sheetViews>
  <sheetFormatPr baseColWidth="10" defaultRowHeight="29" x14ac:dyDescent="0.35"/>
  <cols>
    <col min="1" max="1" width="32.6640625" style="1" customWidth="1"/>
    <col min="2" max="5" width="18.33203125" style="1" customWidth="1"/>
    <col min="6" max="6" width="45.6640625" style="1" customWidth="1"/>
    <col min="7" max="16384" width="10.83203125" style="1"/>
  </cols>
  <sheetData>
    <row r="1" spans="1:8" ht="55" customHeight="1" x14ac:dyDescent="0.35">
      <c r="A1" s="5" t="s">
        <v>26</v>
      </c>
      <c r="B1" s="5"/>
      <c r="C1" s="5"/>
      <c r="D1" s="5"/>
      <c r="E1" s="5"/>
      <c r="F1" s="5"/>
      <c r="H1" s="28" t="str">
        <f>HYPERLINK("#Sheet1!B5","← Back to TOC")</f>
        <v>← Back to TOC</v>
      </c>
    </row>
    <row r="3" spans="1:8" x14ac:dyDescent="0.35">
      <c r="A3" s="3" t="s">
        <v>27</v>
      </c>
    </row>
    <row r="4" spans="1:8" ht="136" customHeight="1" x14ac:dyDescent="0.35">
      <c r="A4" s="8" t="s">
        <v>28</v>
      </c>
      <c r="B4" s="8"/>
      <c r="C4" s="8"/>
      <c r="D4" s="8"/>
      <c r="E4" s="8"/>
      <c r="F4" s="8"/>
    </row>
    <row r="5" spans="1:8" ht="77" customHeight="1" x14ac:dyDescent="0.35">
      <c r="A5" s="8" t="s">
        <v>29</v>
      </c>
      <c r="B5" s="8"/>
      <c r="C5" s="8"/>
      <c r="D5" s="8"/>
      <c r="E5" s="8"/>
      <c r="F5" s="8"/>
    </row>
    <row r="7" spans="1:8" x14ac:dyDescent="0.35">
      <c r="A7" s="2" t="s">
        <v>30</v>
      </c>
      <c r="B7" s="4" t="s">
        <v>15</v>
      </c>
      <c r="C7" s="4" t="s">
        <v>16</v>
      </c>
      <c r="D7" s="4" t="s">
        <v>17</v>
      </c>
      <c r="E7" s="4" t="s">
        <v>18</v>
      </c>
      <c r="F7" s="4" t="s">
        <v>19</v>
      </c>
    </row>
    <row r="8" spans="1:8" x14ac:dyDescent="0.35">
      <c r="A8" s="9" t="s">
        <v>31</v>
      </c>
      <c r="B8" s="1">
        <f>AVERAGE('1_Overview'!B20:B29)</f>
        <v>15.5</v>
      </c>
      <c r="C8" s="1">
        <f>AVERAGE('1_Overview'!C20:C29)</f>
        <v>53.3</v>
      </c>
      <c r="D8" s="1">
        <f>AVERAGE('1_Overview'!D20:D29)</f>
        <v>3.9299999999999997</v>
      </c>
      <c r="E8" s="1">
        <f>AVERAGE('1_Overview'!E20:E29)</f>
        <v>91.8</v>
      </c>
      <c r="F8" s="1">
        <f>AVERAGE('1_Overview'!F20:F29)</f>
        <v>6.65</v>
      </c>
    </row>
    <row r="9" spans="1:8" x14ac:dyDescent="0.35">
      <c r="A9" s="9" t="s">
        <v>32</v>
      </c>
      <c r="B9" s="1">
        <f>MEDIAN('1_Overview'!B20:B29)</f>
        <v>15.5</v>
      </c>
      <c r="C9" s="1">
        <f>MEDIAN('1_Overview'!C20:C29)</f>
        <v>53.5</v>
      </c>
      <c r="D9" s="1">
        <f>MEDIAN('1_Overview'!D20:D29)</f>
        <v>3.9</v>
      </c>
      <c r="E9" s="1">
        <f>MEDIAN('1_Overview'!E20:E29)</f>
        <v>92.5</v>
      </c>
      <c r="F9" s="1">
        <f>MEDIAN('1_Overview'!F20:F29)</f>
        <v>6.65</v>
      </c>
    </row>
    <row r="10" spans="1:8" x14ac:dyDescent="0.35">
      <c r="A10" s="9" t="s">
        <v>33</v>
      </c>
      <c r="B10" s="1">
        <f>_xlfn.VAR.S('1_Overview'!B20:B29)</f>
        <v>9.1666666666666661</v>
      </c>
      <c r="C10" s="1">
        <f>_xlfn.VAR.S('1_Overview'!C20:C29)</f>
        <v>63.566666666666507</v>
      </c>
      <c r="D10" s="1">
        <f>_xlfn.VAR.S('1_Overview'!D20:D29)</f>
        <v>0.524555555555556</v>
      </c>
      <c r="E10" s="1">
        <f>_xlfn.VAR.S('1_Overview'!E20:E29)</f>
        <v>17.733333333333331</v>
      </c>
      <c r="F10" s="1">
        <f>_xlfn.VAR.S('1_Overview'!F20:F29)</f>
        <v>0.27611111111111103</v>
      </c>
    </row>
    <row r="11" spans="1:8" x14ac:dyDescent="0.35">
      <c r="A11" s="9" t="s">
        <v>34</v>
      </c>
      <c r="B11" s="1">
        <f>_xlfn.STDEV.S('1_Overview'!B20:B29)</f>
        <v>3.0276503540974917</v>
      </c>
      <c r="C11" s="1">
        <f>_xlfn.STDEV.S('1_Overview'!C20:C29)</f>
        <v>7.9728706666210574</v>
      </c>
      <c r="D11" s="1">
        <f>_xlfn.STDEV.S('1_Overview'!D20:D29)</f>
        <v>0.72426207656866581</v>
      </c>
      <c r="E11" s="1">
        <f>_xlfn.STDEV.S('1_Overview'!E20:E29)</f>
        <v>4.2110964526276682</v>
      </c>
      <c r="F11" s="1">
        <f>_xlfn.STDEV.S('1_Overview'!F20:F29)</f>
        <v>0.52546275901448147</v>
      </c>
    </row>
    <row r="12" spans="1:8" x14ac:dyDescent="0.35">
      <c r="A12" s="9" t="s">
        <v>35</v>
      </c>
      <c r="B12" s="1">
        <f>MIN('1_Overview'!B20:B29)</f>
        <v>11</v>
      </c>
      <c r="C12" s="1">
        <f>MIN('1_Overview'!C20:C29)</f>
        <v>41</v>
      </c>
      <c r="D12" s="1">
        <f>MIN('1_Overview'!D20:D29)</f>
        <v>2.9</v>
      </c>
      <c r="E12" s="1">
        <f>MIN('1_Overview'!E20:E29)</f>
        <v>85</v>
      </c>
      <c r="F12" s="1">
        <f>MIN('1_Overview'!F20:F29)</f>
        <v>5.9</v>
      </c>
    </row>
    <row r="13" spans="1:8" x14ac:dyDescent="0.35">
      <c r="A13" s="9" t="s">
        <v>36</v>
      </c>
      <c r="B13" s="1">
        <f>MAX('1_Overview'!B20:B29)</f>
        <v>20</v>
      </c>
      <c r="C13" s="1">
        <f>MAX('1_Overview'!C20:C29)</f>
        <v>65</v>
      </c>
      <c r="D13" s="1">
        <f>MAX('1_Overview'!D20:D29)</f>
        <v>5.0999999999999996</v>
      </c>
      <c r="E13" s="1">
        <f>MAX('1_Overview'!E20:E29)</f>
        <v>98</v>
      </c>
      <c r="F13" s="1">
        <f>MAX('1_Overview'!F20:F29)</f>
        <v>7.4</v>
      </c>
    </row>
    <row r="14" spans="1:8" x14ac:dyDescent="0.35">
      <c r="A14" s="9" t="s">
        <v>37</v>
      </c>
      <c r="B14" s="1">
        <f>B13-B12</f>
        <v>9</v>
      </c>
      <c r="C14" s="1">
        <f>C13-C12</f>
        <v>24</v>
      </c>
      <c r="D14" s="1">
        <f>D13-D12</f>
        <v>2.1999999999999997</v>
      </c>
      <c r="E14" s="1">
        <f>E13-E12</f>
        <v>13</v>
      </c>
      <c r="F14" s="1">
        <f>F13-F12</f>
        <v>1.5</v>
      </c>
    </row>
    <row r="16" spans="1:8" x14ac:dyDescent="0.35">
      <c r="A16" s="3" t="s">
        <v>38</v>
      </c>
    </row>
    <row r="17" spans="1:1" ht="53" customHeight="1" x14ac:dyDescent="0.35">
      <c r="A17" s="9" t="s">
        <v>39</v>
      </c>
    </row>
  </sheetData>
  <mergeCells count="3">
    <mergeCell ref="A1:F1"/>
    <mergeCell ref="A4:F4"/>
    <mergeCell ref="A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B9DF1-D2F4-2A44-A0BF-6E861AF1C31C}">
  <sheetPr>
    <tabColor rgb="FF5B9BD5"/>
  </sheetPr>
  <dimension ref="A1:H21"/>
  <sheetViews>
    <sheetView topLeftCell="A8" workbookViewId="0">
      <selection activeCell="B18" sqref="B18"/>
    </sheetView>
  </sheetViews>
  <sheetFormatPr baseColWidth="10" defaultColWidth="41.83203125" defaultRowHeight="29" x14ac:dyDescent="0.35"/>
  <cols>
    <col min="1" max="1" width="57.1640625" style="1" customWidth="1"/>
    <col min="2" max="16384" width="41.83203125" style="1"/>
  </cols>
  <sheetData>
    <row r="1" spans="1:8" x14ac:dyDescent="0.35">
      <c r="A1" s="2" t="s">
        <v>40</v>
      </c>
      <c r="H1" s="28" t="str">
        <f>HYPERLINK("#Sheet1!B5","← Back to TOC")</f>
        <v>← Back to TOC</v>
      </c>
    </row>
    <row r="3" spans="1:8" x14ac:dyDescent="0.35">
      <c r="A3" s="3" t="s">
        <v>27</v>
      </c>
    </row>
    <row r="4" spans="1:8" ht="78" customHeight="1" x14ac:dyDescent="0.35">
      <c r="A4" s="6" t="s">
        <v>41</v>
      </c>
      <c r="B4" s="6"/>
      <c r="C4" s="6"/>
      <c r="D4" s="6"/>
      <c r="E4" s="6"/>
    </row>
    <row r="5" spans="1:8" ht="47" customHeight="1" x14ac:dyDescent="0.35">
      <c r="A5" s="6" t="s">
        <v>42</v>
      </c>
      <c r="B5" s="6"/>
      <c r="C5" s="6"/>
      <c r="D5" s="6"/>
      <c r="E5" s="6"/>
    </row>
    <row r="6" spans="1:8" ht="74" customHeight="1" x14ac:dyDescent="0.35">
      <c r="A6" s="6" t="s">
        <v>43</v>
      </c>
      <c r="B6" s="6"/>
      <c r="C6" s="6"/>
      <c r="D6" s="6"/>
      <c r="E6" s="6"/>
    </row>
    <row r="7" spans="1:8" ht="93" customHeight="1" x14ac:dyDescent="0.35">
      <c r="A7" s="7" t="s">
        <v>82</v>
      </c>
      <c r="B7" s="7"/>
      <c r="C7" s="7"/>
      <c r="D7" s="7"/>
      <c r="E7" s="7"/>
    </row>
    <row r="9" spans="1:8" ht="30" customHeight="1" x14ac:dyDescent="0.35">
      <c r="A9" s="11" t="s">
        <v>44</v>
      </c>
      <c r="B9" s="11"/>
      <c r="C9" s="11"/>
      <c r="D9" s="11"/>
      <c r="E9" s="11"/>
      <c r="F9" s="11"/>
    </row>
    <row r="10" spans="1:8" x14ac:dyDescent="0.35">
      <c r="B10" s="4" t="s">
        <v>15</v>
      </c>
      <c r="C10" s="4" t="s">
        <v>16</v>
      </c>
      <c r="D10" s="4" t="s">
        <v>17</v>
      </c>
      <c r="E10" s="4" t="s">
        <v>18</v>
      </c>
      <c r="F10" s="4" t="s">
        <v>19</v>
      </c>
    </row>
    <row r="11" spans="1:8" x14ac:dyDescent="0.35">
      <c r="A11" s="2" t="s">
        <v>15</v>
      </c>
      <c r="B11" s="10">
        <f>_xlfn.COVARIANCE.S('1_Overview'!B$20:B$29,'1_Overview'!B$20:B$29)</f>
        <v>9.1666666666666661</v>
      </c>
      <c r="C11" s="10">
        <f>_xlfn.COVARIANCE.S('1_Overview'!B$20:B$29,'1_Overview'!C$20:C$29)</f>
        <v>24.055555555555557</v>
      </c>
      <c r="D11" s="10">
        <f>_xlfn.COVARIANCE.S('1_Overview'!B$20:B$29,'1_Overview'!D$20:D$29)</f>
        <v>2.1833333333333331</v>
      </c>
      <c r="E11" s="10">
        <f>_xlfn.COVARIANCE.S('1_Overview'!B$20:B$29,'1_Overview'!E$20:E$29)</f>
        <v>12.555555555555555</v>
      </c>
      <c r="F11" s="10">
        <f>_xlfn.COVARIANCE.S('1_Overview'!B$20:B$29,'1_Overview'!F$20:F$29)</f>
        <v>-1.572222222222222</v>
      </c>
    </row>
    <row r="12" spans="1:8" x14ac:dyDescent="0.35">
      <c r="A12" s="2" t="s">
        <v>16</v>
      </c>
      <c r="B12" s="10">
        <f>_xlfn.COVARIANCE.S('1_Overview'!C$20:C$29,'1_Overview'!B$20:B$29)</f>
        <v>24.055555555555557</v>
      </c>
      <c r="C12" s="10">
        <f>_xlfn.COVARIANCE.S('1_Overview'!C$20:C$29,'1_Overview'!C$20:C$29)</f>
        <v>63.56666666666667</v>
      </c>
      <c r="D12" s="10">
        <f>_xlfn.COVARIANCE.S('1_Overview'!C$20:C$29,'1_Overview'!D$20:D$29)</f>
        <v>5.7344444444444447</v>
      </c>
      <c r="E12" s="10">
        <f>_xlfn.COVARIANCE.S('1_Overview'!C$20:C$29,'1_Overview'!E$20:E$29)</f>
        <v>33.06666666666667</v>
      </c>
      <c r="F12" s="10">
        <f>_xlfn.COVARIANCE.S('1_Overview'!C$20:C$29,'1_Overview'!F$20:F$29)</f>
        <v>-4.1499999999999995</v>
      </c>
    </row>
    <row r="13" spans="1:8" x14ac:dyDescent="0.35">
      <c r="A13" s="2" t="s">
        <v>17</v>
      </c>
      <c r="B13" s="10">
        <f>_xlfn.COVARIANCE.S('1_Overview'!D$20:D$29,'1_Overview'!B$20:B$29)</f>
        <v>2.1833333333333331</v>
      </c>
      <c r="C13" s="10">
        <f>_xlfn.COVARIANCE.S('1_Overview'!D$20:D$29,'1_Overview'!C$20:C$29)</f>
        <v>5.7344444444444447</v>
      </c>
      <c r="D13" s="10">
        <f>_xlfn.COVARIANCE.S('1_Overview'!D$20:D$29,'1_Overview'!D$20:D$29)</f>
        <v>0.52455555555555544</v>
      </c>
      <c r="E13" s="10">
        <f>_xlfn.COVARIANCE.S('1_Overview'!D$20:D$29,'1_Overview'!E$20:E$29)</f>
        <v>2.9955555555555549</v>
      </c>
      <c r="F13" s="10">
        <f>_xlfn.COVARIANCE.S('1_Overview'!D$20:D$29,'1_Overview'!F$20:F$29)</f>
        <v>-0.37722222222222207</v>
      </c>
    </row>
    <row r="14" spans="1:8" x14ac:dyDescent="0.35">
      <c r="A14" s="2" t="s">
        <v>18</v>
      </c>
      <c r="B14" s="10">
        <f>_xlfn.COVARIANCE.S('1_Overview'!E$20:E$29,'1_Overview'!B$20:B$29)</f>
        <v>12.555555555555555</v>
      </c>
      <c r="C14" s="10">
        <f>_xlfn.COVARIANCE.S('1_Overview'!E$20:E$29,'1_Overview'!C$20:C$29)</f>
        <v>33.06666666666667</v>
      </c>
      <c r="D14" s="10">
        <f>_xlfn.COVARIANCE.S('1_Overview'!E$20:E$29,'1_Overview'!D$20:D$29)</f>
        <v>2.9955555555555549</v>
      </c>
      <c r="E14" s="10">
        <f>_xlfn.COVARIANCE.S('1_Overview'!E$20:E$29,'1_Overview'!E$20:E$29)</f>
        <v>17.733333333333331</v>
      </c>
      <c r="F14" s="10">
        <f>_xlfn.COVARIANCE.S('1_Overview'!E$20:E$29,'1_Overview'!F$20:F$29)</f>
        <v>-2.1777777777777776</v>
      </c>
    </row>
    <row r="15" spans="1:8" x14ac:dyDescent="0.35">
      <c r="A15" s="2" t="s">
        <v>19</v>
      </c>
      <c r="B15" s="10">
        <f>_xlfn.COVARIANCE.S('1_Overview'!F$20:F$29,'1_Overview'!B$20:B$29)</f>
        <v>-1.572222222222222</v>
      </c>
      <c r="C15" s="10">
        <f>_xlfn.COVARIANCE.S('1_Overview'!F$20:F$29,'1_Overview'!C$20:C$29)</f>
        <v>-4.1499999999999995</v>
      </c>
      <c r="D15" s="10">
        <f>_xlfn.COVARIANCE.S('1_Overview'!F$20:F$29,'1_Overview'!D$20:D$29)</f>
        <v>-0.37722222222222207</v>
      </c>
      <c r="E15" s="10">
        <f>_xlfn.COVARIANCE.S('1_Overview'!F$20:F$29,'1_Overview'!E$20:E$29)</f>
        <v>-2.1777777777777776</v>
      </c>
      <c r="F15" s="10">
        <f>_xlfn.COVARIANCE.S('1_Overview'!F$20:F$29,'1_Overview'!F$20:F$29)</f>
        <v>0.27611111111111103</v>
      </c>
    </row>
    <row r="17" spans="1:6" ht="29" customHeight="1" x14ac:dyDescent="0.35">
      <c r="A17" s="13" t="s">
        <v>45</v>
      </c>
      <c r="B17" s="13"/>
      <c r="C17" s="13"/>
      <c r="D17" s="13"/>
      <c r="E17" s="13"/>
      <c r="F17" s="13"/>
    </row>
    <row r="18" spans="1:6" ht="29" customHeight="1" x14ac:dyDescent="0.35">
      <c r="A18" s="15" t="s">
        <v>46</v>
      </c>
      <c r="C18" s="14"/>
      <c r="D18" s="14"/>
      <c r="E18" s="14"/>
      <c r="F18" s="14"/>
    </row>
    <row r="19" spans="1:6" ht="51" customHeight="1" x14ac:dyDescent="0.35">
      <c r="A19" s="16" t="s">
        <v>47</v>
      </c>
      <c r="B19" s="17"/>
      <c r="C19" s="17"/>
    </row>
    <row r="20" spans="1:6" ht="65" customHeight="1" x14ac:dyDescent="0.35">
      <c r="A20" s="16" t="s">
        <v>48</v>
      </c>
      <c r="B20" s="17"/>
      <c r="C20" s="17"/>
    </row>
    <row r="21" spans="1:6" ht="55" customHeight="1" x14ac:dyDescent="0.35">
      <c r="A21" s="16" t="s">
        <v>49</v>
      </c>
      <c r="B21" s="17"/>
      <c r="C21" s="17"/>
    </row>
  </sheetData>
  <mergeCells count="9">
    <mergeCell ref="A19:C19"/>
    <mergeCell ref="A20:C20"/>
    <mergeCell ref="A21:C21"/>
    <mergeCell ref="A4:E4"/>
    <mergeCell ref="A5:E5"/>
    <mergeCell ref="A6:E6"/>
    <mergeCell ref="A7:E7"/>
    <mergeCell ref="A9:F9"/>
    <mergeCell ref="A17:F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37A3D-AC9A-CB40-93F6-83C03D9D1C0F}">
  <sheetPr>
    <tabColor rgb="FF70AD47"/>
  </sheetPr>
  <dimension ref="A1:H23"/>
  <sheetViews>
    <sheetView workbookViewId="0">
      <selection activeCell="C13" sqref="C13"/>
    </sheetView>
  </sheetViews>
  <sheetFormatPr baseColWidth="10" defaultRowHeight="29" x14ac:dyDescent="0.35"/>
  <cols>
    <col min="1" max="6" width="18.33203125" style="1" customWidth="1"/>
    <col min="7" max="16384" width="10.83203125" style="1"/>
  </cols>
  <sheetData>
    <row r="1" spans="1:8" x14ac:dyDescent="0.35">
      <c r="A1" s="5" t="s">
        <v>50</v>
      </c>
      <c r="B1" s="5"/>
      <c r="C1" s="5"/>
      <c r="D1" s="5"/>
      <c r="E1" s="5"/>
      <c r="F1" s="5"/>
      <c r="G1" s="5"/>
      <c r="H1" s="28" t="str">
        <f>HYPERLINK("#Sheet1!B5","← Back to TOC")</f>
        <v>← Back to TOC</v>
      </c>
    </row>
    <row r="3" spans="1:8" x14ac:dyDescent="0.35">
      <c r="A3" s="3" t="s">
        <v>27</v>
      </c>
    </row>
    <row r="4" spans="1:8" x14ac:dyDescent="0.35">
      <c r="A4" s="1" t="s">
        <v>51</v>
      </c>
    </row>
    <row r="5" spans="1:8" x14ac:dyDescent="0.35">
      <c r="A5" s="1" t="s">
        <v>52</v>
      </c>
    </row>
    <row r="6" spans="1:8" x14ac:dyDescent="0.35">
      <c r="A6" s="1" t="s">
        <v>53</v>
      </c>
    </row>
    <row r="7" spans="1:8" x14ac:dyDescent="0.35">
      <c r="A7" s="1" t="s">
        <v>54</v>
      </c>
    </row>
    <row r="9" spans="1:8" x14ac:dyDescent="0.35">
      <c r="A9" s="3" t="s">
        <v>55</v>
      </c>
    </row>
    <row r="10" spans="1:8" x14ac:dyDescent="0.35">
      <c r="B10" s="4" t="s">
        <v>15</v>
      </c>
      <c r="C10" s="4" t="s">
        <v>16</v>
      </c>
      <c r="D10" s="4" t="s">
        <v>17</v>
      </c>
      <c r="E10" s="4" t="s">
        <v>18</v>
      </c>
      <c r="F10" s="4" t="s">
        <v>19</v>
      </c>
    </row>
    <row r="11" spans="1:8" x14ac:dyDescent="0.35">
      <c r="A11" s="2" t="s">
        <v>15</v>
      </c>
      <c r="B11" s="10">
        <f>PEARSON('1_Overview'!B$20:B$29,'1_Overview'!B$20:B$29)</f>
        <v>1</v>
      </c>
      <c r="C11" s="10">
        <f>PEARSON('1_Overview'!B$20:B$29,'1_Overview'!C$20:C$29)</f>
        <v>0.99654049804905198</v>
      </c>
      <c r="D11" s="10">
        <f>PEARSON('1_Overview'!B$20:B$29,'1_Overview'!D$20:D$29)</f>
        <v>0.99567724099854549</v>
      </c>
      <c r="E11" s="10">
        <f>PEARSON('1_Overview'!B$20:B$29,'1_Overview'!E$20:E$29)</f>
        <v>0.98477048957680424</v>
      </c>
      <c r="F11" s="10">
        <f>PEARSON('1_Overview'!B$20:B$29,'1_Overview'!F$20:F$29)</f>
        <v>-0.9882487394384919</v>
      </c>
    </row>
    <row r="12" spans="1:8" x14ac:dyDescent="0.35">
      <c r="A12" s="2" t="s">
        <v>16</v>
      </c>
      <c r="B12" s="10">
        <f>PEARSON('1_Overview'!C$20:C$29,'1_Overview'!B$20:B$29)</f>
        <v>0.99654049804905198</v>
      </c>
      <c r="C12" s="10">
        <f>PEARSON('1_Overview'!C$20:C$29,'1_Overview'!C$20:C$29)</f>
        <v>0.99999999999999989</v>
      </c>
      <c r="D12" s="10">
        <f>PEARSON('1_Overview'!C$20:C$29,'1_Overview'!D$20:D$29)</f>
        <v>0.99307233839327358</v>
      </c>
      <c r="E12" s="10">
        <f>PEARSON('1_Overview'!C$20:C$29,'1_Overview'!E$20:E$29)</f>
        <v>0.98487363026647301</v>
      </c>
      <c r="F12" s="10">
        <f>PEARSON('1_Overview'!C$20:C$29,'1_Overview'!F$20:F$29)</f>
        <v>-0.99058428920391972</v>
      </c>
    </row>
    <row r="13" spans="1:8" x14ac:dyDescent="0.35">
      <c r="A13" s="2" t="s">
        <v>17</v>
      </c>
      <c r="B13" s="10">
        <f>PEARSON('1_Overview'!D$20:D$29,'1_Overview'!B$20:B$29)</f>
        <v>0.99567724099854549</v>
      </c>
      <c r="C13" s="10">
        <f>PEARSON('1_Overview'!D$20:D$29,'1_Overview'!C$20:C$29)</f>
        <v>0.99307233839327358</v>
      </c>
      <c r="D13" s="10">
        <f>PEARSON('1_Overview'!D$20:D$29,'1_Overview'!D$20:D$29)</f>
        <v>0.99999999999999989</v>
      </c>
      <c r="E13" s="10">
        <f>PEARSON('1_Overview'!D$20:D$29,'1_Overview'!E$20:E$29)</f>
        <v>0.98216950132795799</v>
      </c>
      <c r="F13" s="10">
        <f>PEARSON('1_Overview'!D$20:D$29,'1_Overview'!F$20:F$29)</f>
        <v>-0.99119609380892049</v>
      </c>
    </row>
    <row r="14" spans="1:8" x14ac:dyDescent="0.35">
      <c r="A14" s="2" t="s">
        <v>18</v>
      </c>
      <c r="B14" s="10">
        <f>PEARSON('1_Overview'!E$20:E$29,'1_Overview'!B$20:B$29)</f>
        <v>0.98477048957680424</v>
      </c>
      <c r="C14" s="10">
        <f>PEARSON('1_Overview'!E$20:E$29,'1_Overview'!C$20:C$29)</f>
        <v>0.98487363026647301</v>
      </c>
      <c r="D14" s="10">
        <f>PEARSON('1_Overview'!E$20:E$29,'1_Overview'!D$20:D$29)</f>
        <v>0.98216950132795799</v>
      </c>
      <c r="E14" s="10">
        <f>PEARSON('1_Overview'!E$20:E$29,'1_Overview'!E$20:E$29)</f>
        <v>1</v>
      </c>
      <c r="F14" s="10">
        <f>PEARSON('1_Overview'!E$20:E$29,'1_Overview'!F$20:F$29)</f>
        <v>-0.98418429672668539</v>
      </c>
    </row>
    <row r="15" spans="1:8" x14ac:dyDescent="0.35">
      <c r="A15" s="2" t="s">
        <v>19</v>
      </c>
      <c r="B15" s="10">
        <f>PEARSON('1_Overview'!F$20:F$29,'1_Overview'!B$20:B$29)</f>
        <v>-0.9882487394384919</v>
      </c>
      <c r="C15" s="10">
        <f>PEARSON('1_Overview'!F$20:F$29,'1_Overview'!C$20:C$29)</f>
        <v>-0.99058428920391972</v>
      </c>
      <c r="D15" s="10">
        <f>PEARSON('1_Overview'!F$20:F$29,'1_Overview'!D$20:D$29)</f>
        <v>-0.99119609380892049</v>
      </c>
      <c r="E15" s="10">
        <f>PEARSON('1_Overview'!F$20:F$29,'1_Overview'!E$20:E$29)</f>
        <v>-0.98418429672668539</v>
      </c>
      <c r="F15" s="10">
        <f>PEARSON('1_Overview'!F$20:F$29,'1_Overview'!F$20:F$29)</f>
        <v>1.0000000000000002</v>
      </c>
    </row>
    <row r="17" spans="1:6" x14ac:dyDescent="0.35">
      <c r="A17" s="12" t="s">
        <v>56</v>
      </c>
    </row>
    <row r="18" spans="1:6" ht="59" customHeight="1" x14ac:dyDescent="0.35">
      <c r="A18" s="5" t="s">
        <v>57</v>
      </c>
      <c r="B18" s="5"/>
      <c r="C18" s="5"/>
      <c r="D18" s="5"/>
      <c r="E18" s="5"/>
      <c r="F18" s="5"/>
    </row>
    <row r="20" spans="1:6" x14ac:dyDescent="0.35">
      <c r="A20" s="3" t="s">
        <v>38</v>
      </c>
    </row>
    <row r="21" spans="1:6" x14ac:dyDescent="0.35">
      <c r="A21" s="1" t="s">
        <v>58</v>
      </c>
    </row>
    <row r="22" spans="1:6" x14ac:dyDescent="0.35">
      <c r="A22" s="1" t="s">
        <v>59</v>
      </c>
    </row>
    <row r="23" spans="1:6" x14ac:dyDescent="0.35">
      <c r="A23" s="1" t="s">
        <v>60</v>
      </c>
    </row>
  </sheetData>
  <mergeCells count="2">
    <mergeCell ref="A1:G1"/>
    <mergeCell ref="A18:F18"/>
  </mergeCells>
  <conditionalFormatting sqref="B11:F15">
    <cfRule type="colorScale" priority="1">
      <colorScale>
        <cfvo type="num" val="-1"/>
        <cfvo type="num" val="0"/>
        <cfvo type="num" val="1"/>
        <color rgb="FFF8696B"/>
        <color rgb="FFFFFFFF"/>
        <color rgb="FF63BE7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9E865-8851-C54F-A8F1-84B43272317E}">
  <sheetPr>
    <tabColor rgb="FFA9D18E"/>
  </sheetPr>
  <dimension ref="A1:H23"/>
  <sheetViews>
    <sheetView workbookViewId="0">
      <selection activeCell="B11" sqref="B11"/>
    </sheetView>
  </sheetViews>
  <sheetFormatPr baseColWidth="10" defaultRowHeight="29" x14ac:dyDescent="0.35"/>
  <cols>
    <col min="1" max="6" width="16.6640625" style="1" customWidth="1"/>
    <col min="7" max="16384" width="10.83203125" style="1"/>
  </cols>
  <sheetData>
    <row r="1" spans="1:8" x14ac:dyDescent="0.35">
      <c r="A1" s="2" t="s">
        <v>61</v>
      </c>
      <c r="H1" s="28" t="str">
        <f>HYPERLINK("#Sheet1!B5","← Back to TOC")</f>
        <v>← Back to TOC</v>
      </c>
    </row>
    <row r="3" spans="1:8" x14ac:dyDescent="0.35">
      <c r="A3" s="3" t="s">
        <v>27</v>
      </c>
    </row>
    <row r="4" spans="1:8" x14ac:dyDescent="0.35">
      <c r="A4" s="1" t="s">
        <v>62</v>
      </c>
    </row>
    <row r="5" spans="1:8" x14ac:dyDescent="0.35">
      <c r="A5" s="1" t="s">
        <v>63</v>
      </c>
    </row>
    <row r="6" spans="1:8" x14ac:dyDescent="0.35">
      <c r="A6" s="1" t="s">
        <v>64</v>
      </c>
    </row>
    <row r="8" spans="1:8" x14ac:dyDescent="0.35">
      <c r="A8" s="3" t="s">
        <v>65</v>
      </c>
    </row>
    <row r="9" spans="1:8" x14ac:dyDescent="0.35">
      <c r="A9" s="4" t="s">
        <v>14</v>
      </c>
      <c r="B9" s="4" t="s">
        <v>66</v>
      </c>
      <c r="C9" s="4" t="s">
        <v>67</v>
      </c>
      <c r="D9" s="4" t="s">
        <v>68</v>
      </c>
      <c r="E9" s="4" t="s">
        <v>69</v>
      </c>
      <c r="F9" s="4" t="s">
        <v>70</v>
      </c>
    </row>
    <row r="10" spans="1:8" x14ac:dyDescent="0.35">
      <c r="A10" s="1">
        <f>'1_Overview'!A20</f>
        <v>1</v>
      </c>
      <c r="B10" s="10">
        <f>('1_Overview'!B20-AVERAGE('1_Overview'!B$20:B$29))/_xlfn.STDEV.S('1_Overview'!B$20:B$29)</f>
        <v>-1.1560119533826787</v>
      </c>
      <c r="C10" s="10">
        <f>('1_Overview'!C20-AVERAGE('1_Overview'!C$20:C$29))/_xlfn.STDEV.S('1_Overview'!C$20:C$29)</f>
        <v>-1.0410303072829825</v>
      </c>
      <c r="D10" s="10">
        <f>('1_Overview'!D20-AVERAGE('1_Overview'!D$20:D$29))/_xlfn.STDEV.S('1_Overview'!D$20:D$29)</f>
        <v>-1.0079224408083305</v>
      </c>
      <c r="E10" s="10">
        <f>('1_Overview'!E20-AVERAGE('1_Overview'!E$20:E$29))/_xlfn.STDEV.S('1_Overview'!E$20:E$29)</f>
        <v>-0.90237781127735694</v>
      </c>
      <c r="F10" s="10">
        <f>('1_Overview'!F20-AVERAGE('1_Overview'!F$20:F$29))/_xlfn.STDEV.S('1_Overview'!F$20:F$29)</f>
        <v>0.85638799758899287</v>
      </c>
    </row>
    <row r="11" spans="1:8" x14ac:dyDescent="0.35">
      <c r="A11" s="1">
        <f>'1_Overview'!A21</f>
        <v>2</v>
      </c>
      <c r="B11" s="10">
        <f>('1_Overview'!B21-AVERAGE('1_Overview'!B$20:B$29))/_xlfn.STDEV.S('1_Overview'!B$20:B$29)</f>
        <v>-0.16514456476895409</v>
      </c>
      <c r="C11" s="10">
        <f>('1_Overview'!C21-AVERAGE('1_Overview'!C$20:C$29))/_xlfn.STDEV.S('1_Overview'!C$20:C$29)</f>
        <v>-0.16305293969492468</v>
      </c>
      <c r="D11" s="10">
        <f>('1_Overview'!D21-AVERAGE('1_Overview'!D$20:D$29))/_xlfn.STDEV.S('1_Overview'!D$20:D$29)</f>
        <v>-0.17949303740422318</v>
      </c>
      <c r="E11" s="10">
        <f>('1_Overview'!E21-AVERAGE('1_Overview'!E$20:E$29))/_xlfn.STDEV.S('1_Overview'!E$20:E$29)</f>
        <v>4.749356901459844E-2</v>
      </c>
      <c r="F11" s="10">
        <f>('1_Overview'!F21-AVERAGE('1_Overview'!F$20:F$29))/_xlfn.STDEV.S('1_Overview'!F$20:F$29)</f>
        <v>0.28546266586299707</v>
      </c>
    </row>
    <row r="12" spans="1:8" x14ac:dyDescent="0.35">
      <c r="A12" s="1">
        <f>'1_Overview'!A22</f>
        <v>3</v>
      </c>
      <c r="B12" s="10">
        <f>('1_Overview'!B22-AVERAGE('1_Overview'!B$20:B$29))/_xlfn.STDEV.S('1_Overview'!B$20:B$29)</f>
        <v>-1.4863010829205867</v>
      </c>
      <c r="C12" s="10">
        <f>('1_Overview'!C22-AVERAGE('1_Overview'!C$20:C$29))/_xlfn.STDEV.S('1_Overview'!C$20:C$29)</f>
        <v>-1.5427316601904442</v>
      </c>
      <c r="D12" s="10">
        <f>('1_Overview'!D22-AVERAGE('1_Overview'!D$20:D$29))/_xlfn.STDEV.S('1_Overview'!D$20:D$29)</f>
        <v>-1.4221371425103846</v>
      </c>
      <c r="E12" s="10">
        <f>('1_Overview'!E22-AVERAGE('1_Overview'!E$20:E$29))/_xlfn.STDEV.S('1_Overview'!E$20:E$29)</f>
        <v>-1.6147813464963234</v>
      </c>
      <c r="F12" s="10">
        <f>('1_Overview'!F22-AVERAGE('1_Overview'!F$20:F$29))/_xlfn.STDEV.S('1_Overview'!F$20:F$29)</f>
        <v>1.4273133293149904</v>
      </c>
    </row>
    <row r="13" spans="1:8" x14ac:dyDescent="0.35">
      <c r="A13" s="1">
        <f>'1_Overview'!A23</f>
        <v>4</v>
      </c>
      <c r="B13" s="10">
        <f>('1_Overview'!B23-AVERAGE('1_Overview'!B$20:B$29))/_xlfn.STDEV.S('1_Overview'!B$20:B$29)</f>
        <v>0.82572282384477047</v>
      </c>
      <c r="C13" s="10">
        <f>('1_Overview'!C23-AVERAGE('1_Overview'!C$20:C$29))/_xlfn.STDEV.S('1_Overview'!C$20:C$29)</f>
        <v>0.84034976611999856</v>
      </c>
      <c r="D13" s="10">
        <f>('1_Overview'!D23-AVERAGE('1_Overview'!D$20:D$29))/_xlfn.STDEV.S('1_Overview'!D$20:D$29)</f>
        <v>0.78700793323390272</v>
      </c>
      <c r="E13" s="10">
        <f>('1_Overview'!E23-AVERAGE('1_Overview'!E$20:E$29))/_xlfn.STDEV.S('1_Overview'!E$20:E$29)</f>
        <v>0.75989710423356494</v>
      </c>
      <c r="F13" s="10">
        <f>('1_Overview'!F23-AVERAGE('1_Overview'!F$20:F$29))/_xlfn.STDEV.S('1_Overview'!F$20:F$29)</f>
        <v>-0.85638799758899453</v>
      </c>
    </row>
    <row r="14" spans="1:8" x14ac:dyDescent="0.35">
      <c r="A14" s="1">
        <f>'1_Overview'!A24</f>
        <v>5</v>
      </c>
      <c r="B14" s="10">
        <f>('1_Overview'!B24-AVERAGE('1_Overview'!B$20:B$29))/_xlfn.STDEV.S('1_Overview'!B$20:B$29)</f>
        <v>-0.49543369430686224</v>
      </c>
      <c r="C14" s="10">
        <f>('1_Overview'!C24-AVERAGE('1_Overview'!C$20:C$29))/_xlfn.STDEV.S('1_Overview'!C$20:C$29)</f>
        <v>-0.66475429260238628</v>
      </c>
      <c r="D14" s="10">
        <f>('1_Overview'!D24-AVERAGE('1_Overview'!D$20:D$29))/_xlfn.STDEV.S('1_Overview'!D$20:D$29)</f>
        <v>-0.59370773910627683</v>
      </c>
      <c r="E14" s="10">
        <f>('1_Overview'!E24-AVERAGE('1_Overview'!E$20:E$29))/_xlfn.STDEV.S('1_Overview'!E$20:E$29)</f>
        <v>-0.42744212113137925</v>
      </c>
      <c r="F14" s="10">
        <f>('1_Overview'!F24-AVERAGE('1_Overview'!F$20:F$29))/_xlfn.STDEV.S('1_Overview'!F$20:F$29)</f>
        <v>0.66607955368032812</v>
      </c>
    </row>
    <row r="15" spans="1:8" x14ac:dyDescent="0.35">
      <c r="A15" s="1">
        <f>'1_Overview'!A25</f>
        <v>6</v>
      </c>
      <c r="B15" s="10">
        <f>('1_Overview'!B25-AVERAGE('1_Overview'!B$20:B$29))/_xlfn.STDEV.S('1_Overview'!B$20:B$29)</f>
        <v>1.4863010829205867</v>
      </c>
      <c r="C15" s="10">
        <f>('1_Overview'!C25-AVERAGE('1_Overview'!C$20:C$29))/_xlfn.STDEV.S('1_Overview'!C$20:C$29)</f>
        <v>1.4674764572543257</v>
      </c>
      <c r="D15" s="10">
        <f>('1_Overview'!D25-AVERAGE('1_Overview'!D$20:D$29))/_xlfn.STDEV.S('1_Overview'!D$20:D$29)</f>
        <v>1.6154373366380099</v>
      </c>
      <c r="E15" s="10">
        <f>('1_Overview'!E25-AVERAGE('1_Overview'!E$20:E$29))/_xlfn.STDEV.S('1_Overview'!E$20:E$29)</f>
        <v>1.4723006394525315</v>
      </c>
      <c r="F15" s="10">
        <f>('1_Overview'!F25-AVERAGE('1_Overview'!F$20:F$29))/_xlfn.STDEV.S('1_Overview'!F$20:F$29)</f>
        <v>-1.4273133293149904</v>
      </c>
    </row>
    <row r="16" spans="1:8" x14ac:dyDescent="0.35">
      <c r="A16" s="1">
        <f>'1_Overview'!A26</f>
        <v>7</v>
      </c>
      <c r="B16" s="10">
        <f>('1_Overview'!B26-AVERAGE('1_Overview'!B$20:B$29))/_xlfn.STDEV.S('1_Overview'!B$20:B$29)</f>
        <v>-0.82572282384477047</v>
      </c>
      <c r="C16" s="10">
        <f>('1_Overview'!C26-AVERAGE('1_Overview'!C$20:C$29))/_xlfn.STDEV.S('1_Overview'!C$20:C$29)</f>
        <v>-0.79017963082925169</v>
      </c>
      <c r="D16" s="10">
        <f>('1_Overview'!D26-AVERAGE('1_Overview'!D$20:D$29))/_xlfn.STDEV.S('1_Overview'!D$20:D$29)</f>
        <v>-0.8698508735743129</v>
      </c>
      <c r="E16" s="10">
        <f>('1_Overview'!E26-AVERAGE('1_Overview'!E$20:E$29))/_xlfn.STDEV.S('1_Overview'!E$20:E$29)</f>
        <v>-1.1398456563503458</v>
      </c>
      <c r="F16" s="10">
        <f>('1_Overview'!F26-AVERAGE('1_Overview'!F$20:F$29))/_xlfn.STDEV.S('1_Overview'!F$20:F$29)</f>
        <v>1.0466964414976592</v>
      </c>
    </row>
    <row r="17" spans="1:6" x14ac:dyDescent="0.35">
      <c r="A17" s="1">
        <f>'1_Overview'!A27</f>
        <v>8</v>
      </c>
      <c r="B17" s="10">
        <f>('1_Overview'!B27-AVERAGE('1_Overview'!B$20:B$29))/_xlfn.STDEV.S('1_Overview'!B$20:B$29)</f>
        <v>0.16514456476895409</v>
      </c>
      <c r="C17" s="10">
        <f>('1_Overview'!C27-AVERAGE('1_Overview'!C$20:C$29))/_xlfn.STDEV.S('1_Overview'!C$20:C$29)</f>
        <v>0.21322307498567156</v>
      </c>
      <c r="D17" s="10">
        <f>('1_Overview'!D27-AVERAGE('1_Overview'!D$20:D$29))/_xlfn.STDEV.S('1_Overview'!D$20:D$29)</f>
        <v>9.6650097063812959E-2</v>
      </c>
      <c r="E17" s="10">
        <f>('1_Overview'!E27-AVERAGE('1_Overview'!E$20:E$29))/_xlfn.STDEV.S('1_Overview'!E$20:E$29)</f>
        <v>0.28496141408758729</v>
      </c>
      <c r="F17" s="10">
        <f>('1_Overview'!F27-AVERAGE('1_Overview'!F$20:F$29))/_xlfn.STDEV.S('1_Overview'!F$20:F$29)</f>
        <v>-0.28546266586299873</v>
      </c>
    </row>
    <row r="18" spans="1:6" x14ac:dyDescent="0.35">
      <c r="A18" s="1">
        <f>'1_Overview'!A28</f>
        <v>9</v>
      </c>
      <c r="B18" s="10">
        <f>('1_Overview'!B28-AVERAGE('1_Overview'!B$20:B$29))/_xlfn.STDEV.S('1_Overview'!B$20:B$29)</f>
        <v>0.49543369430686224</v>
      </c>
      <c r="C18" s="10">
        <f>('1_Overview'!C28-AVERAGE('1_Overview'!C$20:C$29))/_xlfn.STDEV.S('1_Overview'!C$20:C$29)</f>
        <v>0.58949908966626774</v>
      </c>
      <c r="D18" s="10">
        <f>('1_Overview'!D28-AVERAGE('1_Overview'!D$20:D$29))/_xlfn.STDEV.S('1_Overview'!D$20:D$29)</f>
        <v>0.37279323153184912</v>
      </c>
      <c r="E18" s="10">
        <f>('1_Overview'!E28-AVERAGE('1_Overview'!E$20:E$29))/_xlfn.STDEV.S('1_Overview'!E$20:E$29)</f>
        <v>0.52242925916057614</v>
      </c>
      <c r="F18" s="10">
        <f>('1_Overview'!F28-AVERAGE('1_Overview'!F$20:F$29))/_xlfn.STDEV.S('1_Overview'!F$20:F$29)</f>
        <v>-0.47577110977166343</v>
      </c>
    </row>
    <row r="19" spans="1:6" x14ac:dyDescent="0.35">
      <c r="A19" s="1">
        <f>'1_Overview'!A29</f>
        <v>10</v>
      </c>
      <c r="B19" s="10">
        <f>('1_Overview'!B29-AVERAGE('1_Overview'!B$20:B$29))/_xlfn.STDEV.S('1_Overview'!B$20:B$29)</f>
        <v>1.1560119533826787</v>
      </c>
      <c r="C19" s="10">
        <f>('1_Overview'!C29-AVERAGE('1_Overview'!C$20:C$29))/_xlfn.STDEV.S('1_Overview'!C$20:C$29)</f>
        <v>1.0912004425737294</v>
      </c>
      <c r="D19" s="10">
        <f>('1_Overview'!D29-AVERAGE('1_Overview'!D$20:D$29))/_xlfn.STDEV.S('1_Overview'!D$20:D$29)</f>
        <v>1.2012226349359563</v>
      </c>
      <c r="E19" s="10">
        <f>('1_Overview'!E29-AVERAGE('1_Overview'!E$20:E$29))/_xlfn.STDEV.S('1_Overview'!E$20:E$29)</f>
        <v>0.99736494930655384</v>
      </c>
      <c r="F19" s="10">
        <f>('1_Overview'!F29-AVERAGE('1_Overview'!F$20:F$29))/_xlfn.STDEV.S('1_Overview'!F$20:F$29)</f>
        <v>-1.2370048854063256</v>
      </c>
    </row>
    <row r="21" spans="1:6" x14ac:dyDescent="0.35">
      <c r="A21" s="3" t="s">
        <v>71</v>
      </c>
    </row>
    <row r="22" spans="1:6" x14ac:dyDescent="0.35">
      <c r="A22" s="9" t="s">
        <v>72</v>
      </c>
      <c r="B22" s="10">
        <f>AVERAGE(B10:B19)</f>
        <v>0</v>
      </c>
      <c r="C22" s="10">
        <f>AVERAGE(C10:C19)</f>
        <v>3.3306690738754696E-16</v>
      </c>
      <c r="D22" s="10">
        <f>AVERAGE(D10:D19)</f>
        <v>2.8865798640254071E-16</v>
      </c>
      <c r="E22" s="10">
        <f>AVERAGE(E10:E19)</f>
        <v>6.7723604502134545E-16</v>
      </c>
      <c r="F22" s="10">
        <f>AVERAGE(F10:F19)</f>
        <v>-4.8849813083506892E-16</v>
      </c>
    </row>
    <row r="23" spans="1:6" x14ac:dyDescent="0.35">
      <c r="A23" s="9" t="s">
        <v>73</v>
      </c>
      <c r="B23" s="10">
        <f>_xlfn.STDEV.S(B10:B19)</f>
        <v>1</v>
      </c>
      <c r="C23" s="10">
        <f>_xlfn.STDEV.S(C10:C19)</f>
        <v>1.0000000000000013</v>
      </c>
      <c r="D23" s="10">
        <f>_xlfn.STDEV.S(D10:D19)</f>
        <v>0.99999999999999944</v>
      </c>
      <c r="E23" s="10">
        <f>_xlfn.STDEV.S(E10:E19)</f>
        <v>1</v>
      </c>
      <c r="F23" s="10">
        <f>_xlfn.STDEV.S(F10:F19)</f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FE34C-263C-F443-B564-367AB8E8297D}">
  <sheetPr>
    <tabColor rgb="FFED7D31"/>
  </sheetPr>
  <dimension ref="A1:H27"/>
  <sheetViews>
    <sheetView tabSelected="1" workbookViewId="0">
      <selection activeCell="B16" sqref="B16"/>
    </sheetView>
  </sheetViews>
  <sheetFormatPr baseColWidth="10" defaultRowHeight="29" x14ac:dyDescent="0.35"/>
  <cols>
    <col min="1" max="1" width="39.6640625" style="1" customWidth="1"/>
    <col min="2" max="6" width="20" style="1" customWidth="1"/>
    <col min="7" max="16384" width="10.83203125" style="1"/>
  </cols>
  <sheetData>
    <row r="1" spans="1:8" x14ac:dyDescent="0.35">
      <c r="A1" s="21" t="s">
        <v>74</v>
      </c>
      <c r="B1" s="21"/>
      <c r="C1" s="21"/>
      <c r="D1" s="21"/>
      <c r="E1" s="21"/>
      <c r="F1" s="21"/>
      <c r="H1" s="28" t="str">
        <f>HYPERLINK("#Sheet1!B5","← Back to TOC")</f>
        <v>← Back to TOC</v>
      </c>
    </row>
    <row r="3" spans="1:8" x14ac:dyDescent="0.35">
      <c r="A3" s="3" t="s">
        <v>27</v>
      </c>
    </row>
    <row r="4" spans="1:8" x14ac:dyDescent="0.35">
      <c r="A4" s="1" t="s">
        <v>75</v>
      </c>
    </row>
    <row r="5" spans="1:8" x14ac:dyDescent="0.35">
      <c r="A5" s="1" t="s">
        <v>76</v>
      </c>
    </row>
    <row r="6" spans="1:8" x14ac:dyDescent="0.35">
      <c r="A6" s="1" t="s">
        <v>77</v>
      </c>
    </row>
    <row r="8" spans="1:8" x14ac:dyDescent="0.35">
      <c r="A8" s="3" t="s">
        <v>78</v>
      </c>
      <c r="B8" s="4" t="s">
        <v>15</v>
      </c>
      <c r="C8" s="4" t="s">
        <v>16</v>
      </c>
      <c r="D8" s="4" t="s">
        <v>17</v>
      </c>
      <c r="E8" s="4" t="s">
        <v>18</v>
      </c>
      <c r="F8" s="4" t="s">
        <v>19</v>
      </c>
    </row>
    <row r="9" spans="1:8" x14ac:dyDescent="0.35">
      <c r="B9" s="18">
        <f>AVERAGE('1_Overview'!B$20:B$29)</f>
        <v>15.5</v>
      </c>
      <c r="C9" s="18">
        <f>AVERAGE('1_Overview'!C$20:C$29)</f>
        <v>53.3</v>
      </c>
      <c r="D9" s="18">
        <f>AVERAGE('1_Overview'!D$20:D$29)</f>
        <v>3.9299999999999997</v>
      </c>
      <c r="E9" s="18">
        <f>AVERAGE('1_Overview'!E$20:E$29)</f>
        <v>91.8</v>
      </c>
      <c r="F9" s="18">
        <f>AVERAGE('1_Overview'!F$20:F$29)</f>
        <v>6.65</v>
      </c>
    </row>
    <row r="11" spans="1:8" x14ac:dyDescent="0.35">
      <c r="A11" s="3" t="s">
        <v>83</v>
      </c>
    </row>
    <row r="12" spans="1:8" x14ac:dyDescent="0.35">
      <c r="A12" s="1" t="s">
        <v>84</v>
      </c>
    </row>
    <row r="14" spans="1:8" x14ac:dyDescent="0.35">
      <c r="A14" s="4" t="s">
        <v>14</v>
      </c>
      <c r="B14" s="4" t="s">
        <v>85</v>
      </c>
      <c r="C14" s="4" t="s">
        <v>86</v>
      </c>
      <c r="D14" s="4" t="s">
        <v>79</v>
      </c>
    </row>
    <row r="15" spans="1:8" x14ac:dyDescent="0.35">
      <c r="A15" s="1">
        <f>'1_Overview'!A20</f>
        <v>1</v>
      </c>
      <c r="B15" s="10" cm="1">
        <f t="array" ref="B15">MMULT(MMULT('5_Standardization'!B10:F10,MINVERSE('4_Correlation'!B$11:F$15)),TRANSPOSE('5_Standardization'!B10:F10))</f>
        <v>6.2528107771447416</v>
      </c>
      <c r="C15" s="10">
        <f>SQRT(B15)</f>
        <v>2.5005620922394112</v>
      </c>
      <c r="D15" s="19" t="str">
        <f>IF(B15&gt;_xlfn.CHISQ.INV(0.975,5),"OUTLIER","")</f>
        <v/>
      </c>
    </row>
    <row r="16" spans="1:8" x14ac:dyDescent="0.35">
      <c r="A16" s="1">
        <f>'1_Overview'!A21</f>
        <v>2</v>
      </c>
      <c r="B16" s="10" cm="1">
        <f t="array" ref="B16">MMULT(MMULT('5_Standardization'!B11:F11,MINVERSE('4_Correlation'!B$11:F$15)),TRANSPOSE('5_Standardization'!B11:F11))</f>
        <v>3.9519988004890183</v>
      </c>
      <c r="C16" s="10">
        <f t="shared" ref="C16:C24" si="0">SQRT(B16)</f>
        <v>1.9879634806728765</v>
      </c>
      <c r="D16" s="19" t="str">
        <f t="shared" ref="D16:D24" si="1">IF(B16&gt;_xlfn.CHISQ.INV(0.975,5),"OUTLIER","")</f>
        <v/>
      </c>
    </row>
    <row r="17" spans="1:4" x14ac:dyDescent="0.35">
      <c r="A17" s="1">
        <f>'1_Overview'!A22</f>
        <v>3</v>
      </c>
      <c r="B17" s="10" cm="1">
        <f t="array" ref="B17">MMULT(MMULT('5_Standardization'!B12:F12,MINVERSE('4_Correlation'!B$11:F$15)),TRANSPOSE('5_Standardization'!B12:F12))</f>
        <v>4.3312980092731124</v>
      </c>
      <c r="C17" s="10">
        <f t="shared" si="0"/>
        <v>2.0811770730221664</v>
      </c>
      <c r="D17" s="19" t="str">
        <f t="shared" si="1"/>
        <v/>
      </c>
    </row>
    <row r="18" spans="1:4" x14ac:dyDescent="0.35">
      <c r="A18" s="1">
        <f>'1_Overview'!A23</f>
        <v>4</v>
      </c>
      <c r="B18" s="10" cm="1">
        <f t="array" ref="B18">MMULT(MMULT('5_Standardization'!B13:F13,MINVERSE('4_Correlation'!B$11:F$15)),TRANSPOSE('5_Standardization'!B13:F13))</f>
        <v>1.402265230329141</v>
      </c>
      <c r="C18" s="10">
        <f t="shared" si="0"/>
        <v>1.184172804251618</v>
      </c>
      <c r="D18" s="19" t="str">
        <f t="shared" si="1"/>
        <v/>
      </c>
    </row>
    <row r="19" spans="1:4" x14ac:dyDescent="0.35">
      <c r="A19" s="1">
        <f>'1_Overview'!A24</f>
        <v>5</v>
      </c>
      <c r="B19" s="10" cm="1">
        <f t="array" ref="B19">MMULT(MMULT('5_Standardization'!B14:F14,MINVERSE('4_Correlation'!B$11:F$15)),TRANSPOSE('5_Standardization'!B14:F14))</f>
        <v>6.1315678992411318</v>
      </c>
      <c r="C19" s="10">
        <f t="shared" si="0"/>
        <v>2.4762002946533084</v>
      </c>
      <c r="D19" s="19" t="str">
        <f t="shared" si="1"/>
        <v/>
      </c>
    </row>
    <row r="20" spans="1:4" x14ac:dyDescent="0.35">
      <c r="A20" s="1">
        <f>'1_Overview'!A25</f>
        <v>6</v>
      </c>
      <c r="B20" s="10" cm="1">
        <f t="array" ref="B20">MMULT(MMULT('5_Standardization'!B15:F15,MINVERSE('4_Correlation'!B$11:F$15)),TRANSPOSE('5_Standardization'!B15:F15))</f>
        <v>5.9691148993102345</v>
      </c>
      <c r="C20" s="10">
        <f t="shared" si="0"/>
        <v>2.4431772140616888</v>
      </c>
      <c r="D20" s="19" t="str">
        <f t="shared" si="1"/>
        <v/>
      </c>
    </row>
    <row r="21" spans="1:4" x14ac:dyDescent="0.35">
      <c r="A21" s="1">
        <f>'1_Overview'!A26</f>
        <v>7</v>
      </c>
      <c r="B21" s="10" cm="1">
        <f t="array" ref="B21">MMULT(MMULT('5_Standardization'!B16:F16,MINVERSE('4_Correlation'!B$11:F$15)),TRANSPOSE('5_Standardization'!B16:F16))</f>
        <v>6.6581647482179349</v>
      </c>
      <c r="C21" s="10">
        <f t="shared" si="0"/>
        <v>2.5803419828034295</v>
      </c>
      <c r="D21" s="19" t="str">
        <f t="shared" si="1"/>
        <v/>
      </c>
    </row>
    <row r="22" spans="1:4" x14ac:dyDescent="0.35">
      <c r="A22" s="1">
        <f>'1_Overview'!A27</f>
        <v>8</v>
      </c>
      <c r="B22" s="10" cm="1">
        <f t="array" ref="B22">MMULT(MMULT('5_Standardization'!B17:F17,MINVERSE('4_Correlation'!B$11:F$15)),TRANSPOSE('5_Standardization'!B17:F17))</f>
        <v>2.4631404119858153</v>
      </c>
      <c r="C22" s="10">
        <f t="shared" si="0"/>
        <v>1.5694395216082127</v>
      </c>
      <c r="D22" s="19" t="str">
        <f t="shared" si="1"/>
        <v/>
      </c>
    </row>
    <row r="23" spans="1:4" x14ac:dyDescent="0.35">
      <c r="A23" s="1">
        <f>'1_Overview'!A28</f>
        <v>9</v>
      </c>
      <c r="B23" s="10" cm="1">
        <f t="array" ref="B23">MMULT(MMULT('5_Standardization'!B18:F18,MINVERSE('4_Correlation'!B$11:F$15)),TRANSPOSE('5_Standardization'!B18:F18))</f>
        <v>3.6260547622893027</v>
      </c>
      <c r="C23" s="10">
        <f t="shared" si="0"/>
        <v>1.9042202504671835</v>
      </c>
      <c r="D23" s="19" t="str">
        <f t="shared" si="1"/>
        <v/>
      </c>
    </row>
    <row r="24" spans="1:4" x14ac:dyDescent="0.35">
      <c r="A24" s="1">
        <f>'1_Overview'!A29</f>
        <v>10</v>
      </c>
      <c r="B24" s="10" cm="1">
        <f t="array" ref="B24">MMULT(MMULT('5_Standardization'!B19:F19,MINVERSE('4_Correlation'!B$11:F$15)),TRANSPOSE('5_Standardization'!B19:F19))</f>
        <v>4.2135844617193161</v>
      </c>
      <c r="C24" s="10">
        <f t="shared" si="0"/>
        <v>2.052701746898296</v>
      </c>
      <c r="D24" s="19" t="str">
        <f t="shared" si="1"/>
        <v/>
      </c>
    </row>
    <row r="26" spans="1:4" x14ac:dyDescent="0.35">
      <c r="A26" s="3" t="s">
        <v>80</v>
      </c>
    </row>
    <row r="27" spans="1:4" x14ac:dyDescent="0.35">
      <c r="A27" s="1" t="s">
        <v>81</v>
      </c>
      <c r="B27" s="10">
        <f>_xlfn.CHISQ.INV(0.975,5)</f>
        <v>12.832501994030022</v>
      </c>
      <c r="C27" s="1" t="s">
        <v>87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A3E4A-02D3-914F-B905-CAC52D050008}">
  <sheetPr>
    <tabColor rgb="FFFFC000"/>
  </sheetPr>
  <dimension ref="A1:I31"/>
  <sheetViews>
    <sheetView workbookViewId="0">
      <selection activeCell="D19" sqref="D19"/>
    </sheetView>
  </sheetViews>
  <sheetFormatPr baseColWidth="10" defaultRowHeight="29" x14ac:dyDescent="0.35"/>
  <cols>
    <col min="1" max="4" width="18.33203125" style="1" customWidth="1"/>
    <col min="5" max="16384" width="10.83203125" style="1"/>
  </cols>
  <sheetData>
    <row r="1" spans="1:9" x14ac:dyDescent="0.35">
      <c r="A1" s="22" t="s">
        <v>88</v>
      </c>
      <c r="B1" s="22"/>
      <c r="C1" s="22"/>
      <c r="D1" s="22"/>
      <c r="E1" s="22"/>
      <c r="F1" s="22"/>
      <c r="G1" s="22"/>
      <c r="H1" s="29"/>
      <c r="I1" s="22"/>
    </row>
    <row r="3" spans="1:9" x14ac:dyDescent="0.35">
      <c r="A3" s="3" t="s">
        <v>27</v>
      </c>
    </row>
    <row r="4" spans="1:9" ht="56" customHeight="1" x14ac:dyDescent="0.35">
      <c r="A4" s="1" t="s">
        <v>89</v>
      </c>
    </row>
    <row r="5" spans="1:9" x14ac:dyDescent="0.35">
      <c r="A5" s="1" t="s">
        <v>90</v>
      </c>
    </row>
    <row r="6" spans="1:9" x14ac:dyDescent="0.35">
      <c r="A6" s="1" t="s">
        <v>91</v>
      </c>
    </row>
    <row r="7" spans="1:9" x14ac:dyDescent="0.35">
      <c r="A7" s="1" t="s">
        <v>92</v>
      </c>
    </row>
    <row r="9" spans="1:9" x14ac:dyDescent="0.35">
      <c r="A9" s="3" t="s">
        <v>93</v>
      </c>
    </row>
    <row r="10" spans="1:9" x14ac:dyDescent="0.35">
      <c r="A10" s="1" t="s">
        <v>94</v>
      </c>
      <c r="B10" s="9">
        <f>'4_Correlation'!B11+'4_Correlation'!C12+'4_Correlation'!D13+'4_Correlation'!E14+'4_Correlation'!F15</f>
        <v>5</v>
      </c>
    </row>
    <row r="11" spans="1:9" x14ac:dyDescent="0.35">
      <c r="A11" s="1" t="s">
        <v>95</v>
      </c>
    </row>
    <row r="13" spans="1:9" x14ac:dyDescent="0.35">
      <c r="A13" s="3" t="s">
        <v>96</v>
      </c>
    </row>
    <row r="14" spans="1:9" x14ac:dyDescent="0.35">
      <c r="A14" s="1" t="s">
        <v>97</v>
      </c>
    </row>
    <row r="16" spans="1:9" x14ac:dyDescent="0.35">
      <c r="A16" s="4" t="s">
        <v>98</v>
      </c>
      <c r="B16" s="4" t="s">
        <v>99</v>
      </c>
      <c r="C16" s="4" t="s">
        <v>100</v>
      </c>
      <c r="D16" s="4" t="s">
        <v>101</v>
      </c>
    </row>
    <row r="17" spans="1:4" x14ac:dyDescent="0.35">
      <c r="A17" s="1" t="s">
        <v>102</v>
      </c>
      <c r="B17" s="10">
        <v>4.9585999999999997</v>
      </c>
      <c r="C17" s="23">
        <f>B17/$B$10</f>
        <v>0.99171999999999993</v>
      </c>
      <c r="D17" s="23">
        <f>C17</f>
        <v>0.99171999999999993</v>
      </c>
    </row>
    <row r="18" spans="1:4" x14ac:dyDescent="0.35">
      <c r="A18" s="1" t="s">
        <v>103</v>
      </c>
      <c r="B18" s="10">
        <v>2.2599999999999999E-2</v>
      </c>
      <c r="C18" s="23">
        <f>B18/$B$10</f>
        <v>4.5199999999999997E-3</v>
      </c>
      <c r="D18" s="23">
        <f>D17+C18</f>
        <v>0.9962399999999999</v>
      </c>
    </row>
    <row r="19" spans="1:4" x14ac:dyDescent="0.35">
      <c r="A19" s="1" t="s">
        <v>104</v>
      </c>
      <c r="B19" s="10">
        <v>1.17E-2</v>
      </c>
      <c r="C19" s="23">
        <f>B19/$B$10</f>
        <v>2.3400000000000001E-3</v>
      </c>
      <c r="D19" s="23">
        <f>D18+C19</f>
        <v>0.99857999999999991</v>
      </c>
    </row>
    <row r="20" spans="1:4" x14ac:dyDescent="0.35">
      <c r="A20" s="1" t="s">
        <v>105</v>
      </c>
      <c r="B20" s="10">
        <v>4.8999999999999998E-3</v>
      </c>
      <c r="C20" s="23">
        <f>B20/$B$10</f>
        <v>9.7999999999999997E-4</v>
      </c>
      <c r="D20" s="23">
        <f>D19+C20</f>
        <v>0.99955999999999989</v>
      </c>
    </row>
    <row r="21" spans="1:4" x14ac:dyDescent="0.35">
      <c r="A21" s="1" t="s">
        <v>106</v>
      </c>
      <c r="B21" s="10">
        <v>2.2000000000000001E-3</v>
      </c>
      <c r="C21" s="23">
        <f>B21/$B$10</f>
        <v>4.4000000000000002E-4</v>
      </c>
      <c r="D21" s="23">
        <f>D20+C21</f>
        <v>0.99999999999999989</v>
      </c>
    </row>
    <row r="22" spans="1:4" x14ac:dyDescent="0.35">
      <c r="A22" s="9" t="s">
        <v>107</v>
      </c>
      <c r="B22" s="24">
        <f>SUM(B17:B21)</f>
        <v>5</v>
      </c>
    </row>
    <row r="24" spans="1:4" x14ac:dyDescent="0.35">
      <c r="A24" s="3" t="s">
        <v>38</v>
      </c>
    </row>
    <row r="25" spans="1:4" x14ac:dyDescent="0.35">
      <c r="A25" s="1" t="s">
        <v>108</v>
      </c>
    </row>
    <row r="26" spans="1:4" x14ac:dyDescent="0.35">
      <c r="A26" s="1" t="s">
        <v>109</v>
      </c>
    </row>
    <row r="27" spans="1:4" x14ac:dyDescent="0.35">
      <c r="A27" s="1" t="s">
        <v>110</v>
      </c>
    </row>
    <row r="28" spans="1:4" x14ac:dyDescent="0.35">
      <c r="A28" s="1" t="s">
        <v>111</v>
      </c>
    </row>
    <row r="30" spans="1:4" x14ac:dyDescent="0.35">
      <c r="A30" s="3" t="s">
        <v>112</v>
      </c>
    </row>
    <row r="31" spans="1:4" x14ac:dyDescent="0.35">
      <c r="A31" s="1" t="s">
        <v>113</v>
      </c>
    </row>
  </sheetData>
  <mergeCells count="1">
    <mergeCell ref="A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46F6-EBCE-934B-8F0B-BED0B9DC4EC5}">
  <sheetPr>
    <tabColor rgb="FFC00000"/>
  </sheetPr>
  <dimension ref="A1:H23"/>
  <sheetViews>
    <sheetView workbookViewId="0">
      <selection activeCell="A14" sqref="A14"/>
    </sheetView>
  </sheetViews>
  <sheetFormatPr baseColWidth="10" defaultRowHeight="29" x14ac:dyDescent="0.35"/>
  <cols>
    <col min="1" max="6" width="19.1640625" style="1" customWidth="1"/>
    <col min="7" max="16384" width="10.83203125" style="1"/>
  </cols>
  <sheetData>
    <row r="1" spans="1:8" x14ac:dyDescent="0.35">
      <c r="A1" s="2" t="s">
        <v>114</v>
      </c>
      <c r="H1" s="28" t="str">
        <f>HYPERLINK("#Sheet1!B5","← Back to TOC")</f>
        <v>← Back to TOC</v>
      </c>
    </row>
    <row r="3" spans="1:8" x14ac:dyDescent="0.35">
      <c r="A3" s="3" t="s">
        <v>115</v>
      </c>
    </row>
    <row r="4" spans="1:8" x14ac:dyDescent="0.35">
      <c r="A4" s="1" t="s">
        <v>116</v>
      </c>
    </row>
    <row r="5" spans="1:8" x14ac:dyDescent="0.35">
      <c r="A5" s="1" t="s">
        <v>117</v>
      </c>
    </row>
    <row r="7" spans="1:8" x14ac:dyDescent="0.35">
      <c r="A7" s="3" t="s">
        <v>118</v>
      </c>
    </row>
    <row r="8" spans="1:8" x14ac:dyDescent="0.35">
      <c r="A8" s="1" t="s">
        <v>119</v>
      </c>
    </row>
    <row r="10" spans="1:8" x14ac:dyDescent="0.35">
      <c r="A10" s="2" t="s">
        <v>30</v>
      </c>
      <c r="B10" s="4" t="s">
        <v>15</v>
      </c>
      <c r="C10" s="4" t="s">
        <v>16</v>
      </c>
      <c r="D10" s="4" t="s">
        <v>17</v>
      </c>
      <c r="E10" s="4" t="s">
        <v>18</v>
      </c>
      <c r="F10" s="4" t="s">
        <v>19</v>
      </c>
    </row>
    <row r="11" spans="1:8" x14ac:dyDescent="0.35">
      <c r="A11" s="9" t="s">
        <v>120</v>
      </c>
      <c r="B11" s="18">
        <f>SKEW('1_Overview'!B20:B29)</f>
        <v>0</v>
      </c>
      <c r="C11" s="18">
        <f>SKEW('1_Overview'!C20:C29)</f>
        <v>-4.4987378787190939E-2</v>
      </c>
      <c r="D11" s="18">
        <f>SKEW('1_Overview'!D20:D29)</f>
        <v>0.23829848121643341</v>
      </c>
      <c r="E11" s="18">
        <f>SKEW('1_Overview'!E20:E29)</f>
        <v>-0.23836058133265908</v>
      </c>
      <c r="F11" s="18">
        <f>SKEW('1_Overview'!F20:F29)</f>
        <v>-7.7540160747495729E-2</v>
      </c>
    </row>
    <row r="12" spans="1:8" x14ac:dyDescent="0.35">
      <c r="A12" s="9" t="s">
        <v>121</v>
      </c>
      <c r="B12" s="18">
        <f>KURT('1_Overview'!B20:B29)</f>
        <v>-1.1999999999999993</v>
      </c>
      <c r="C12" s="18">
        <f>KURT('1_Overview'!C20:C29)</f>
        <v>-1.2615369651723727</v>
      </c>
      <c r="D12" s="18">
        <f>KURT('1_Overview'!D20:D29)</f>
        <v>-1.0402528445891197</v>
      </c>
      <c r="E12" s="18">
        <f>KURT('1_Overview'!E20:E29)</f>
        <v>-1.0029538131041891</v>
      </c>
      <c r="F12" s="18">
        <f>KURT('1_Overview'!F20:F29)</f>
        <v>-1.4628292896210247</v>
      </c>
    </row>
    <row r="14" spans="1:8" x14ac:dyDescent="0.35">
      <c r="A14" s="1" t="s">
        <v>122</v>
      </c>
    </row>
    <row r="16" spans="1:8" x14ac:dyDescent="0.35">
      <c r="A16" s="3" t="s">
        <v>123</v>
      </c>
    </row>
    <row r="17" spans="1:1" x14ac:dyDescent="0.35">
      <c r="A17" s="1" t="s">
        <v>124</v>
      </c>
    </row>
    <row r="19" spans="1:1" x14ac:dyDescent="0.35">
      <c r="A19" s="3" t="s">
        <v>125</v>
      </c>
    </row>
    <row r="20" spans="1:1" x14ac:dyDescent="0.35">
      <c r="A20" s="1" t="s">
        <v>126</v>
      </c>
    </row>
    <row r="21" spans="1:1" x14ac:dyDescent="0.35">
      <c r="A21" s="1" t="s">
        <v>127</v>
      </c>
    </row>
    <row r="22" spans="1:1" x14ac:dyDescent="0.35">
      <c r="A22" s="1" t="s">
        <v>128</v>
      </c>
    </row>
    <row r="23" spans="1:1" x14ac:dyDescent="0.35">
      <c r="A23" s="1" t="s">
        <v>129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9EE17-DAB2-4E49-A3AF-CDC90093B4AE}">
  <sheetPr>
    <tabColor rgb="FF7030A0"/>
  </sheetPr>
  <dimension ref="A1:L29"/>
  <sheetViews>
    <sheetView topLeftCell="A4" workbookViewId="0">
      <selection activeCell="D16" sqref="D16"/>
    </sheetView>
  </sheetViews>
  <sheetFormatPr baseColWidth="10" defaultRowHeight="29" x14ac:dyDescent="0.35"/>
  <cols>
    <col min="1" max="1" width="40.83203125" style="1" customWidth="1"/>
    <col min="2" max="6" width="21.6640625" style="1" customWidth="1"/>
    <col min="7" max="16384" width="10.83203125" style="1"/>
  </cols>
  <sheetData>
    <row r="1" spans="1:12" ht="40" customHeight="1" x14ac:dyDescent="0.35">
      <c r="A1" s="20" t="s">
        <v>130</v>
      </c>
      <c r="B1" s="20"/>
      <c r="C1" s="20"/>
      <c r="D1" s="20"/>
      <c r="E1" s="20"/>
      <c r="F1" s="20"/>
      <c r="H1" s="28" t="str">
        <f>HYPERLINK("#Sheet1!B5","← Back to TOC")</f>
        <v>← Back to TOC</v>
      </c>
    </row>
    <row r="3" spans="1:12" x14ac:dyDescent="0.35">
      <c r="A3" s="3" t="s">
        <v>27</v>
      </c>
    </row>
    <row r="4" spans="1:12" x14ac:dyDescent="0.35">
      <c r="A4" s="1" t="s">
        <v>131</v>
      </c>
    </row>
    <row r="5" spans="1:12" x14ac:dyDescent="0.35">
      <c r="A5" s="1" t="s">
        <v>132</v>
      </c>
    </row>
    <row r="7" spans="1:12" x14ac:dyDescent="0.35">
      <c r="A7" s="25" t="s">
        <v>133</v>
      </c>
      <c r="H7" s="3" t="s">
        <v>154</v>
      </c>
    </row>
    <row r="8" spans="1:12" x14ac:dyDescent="0.35">
      <c r="A8" s="25" t="s">
        <v>134</v>
      </c>
      <c r="H8" s="2" t="s">
        <v>15</v>
      </c>
      <c r="I8" s="2" t="s">
        <v>16</v>
      </c>
      <c r="J8" s="2" t="s">
        <v>17</v>
      </c>
      <c r="K8" s="2" t="s">
        <v>19</v>
      </c>
      <c r="L8" s="32" t="s">
        <v>153</v>
      </c>
    </row>
    <row r="9" spans="1:12" x14ac:dyDescent="0.35">
      <c r="A9" s="2" t="s">
        <v>135</v>
      </c>
      <c r="B9" s="10">
        <f>INDEX(LINEST(L9:L18,H9:K18,TRUE,TRUE),1,1)</f>
        <v>-4.2015895953757338</v>
      </c>
      <c r="C9" s="10">
        <f>INDEX(LINEST(L9:L18,H9:K18,TRUE,TRUE),1,2)</f>
        <v>-1.4929552023121335</v>
      </c>
      <c r="D9" s="10">
        <f>INDEX(LINEST(L9:L18,H9:K18,TRUE,TRUE),1,3)</f>
        <v>5.4190751445085748E-2</v>
      </c>
      <c r="E9" s="10">
        <f>INDEX(LINEST(L9:L18,H9:K18,TRUE,TRUE),1,4)</f>
        <v>0.8624458092485543</v>
      </c>
      <c r="F9" s="10">
        <f>INDEX(LINEST(L9:L18,H9:K18,TRUE,TRUE),1,5)</f>
        <v>109.35160765895964</v>
      </c>
      <c r="H9" s="33">
        <f>'1_Overview'!B20</f>
        <v>12</v>
      </c>
      <c r="I9" s="33">
        <f>'1_Overview'!C20</f>
        <v>45</v>
      </c>
      <c r="J9" s="33">
        <f>'1_Overview'!D20</f>
        <v>3.2</v>
      </c>
      <c r="K9" s="33">
        <f>'1_Overview'!F20</f>
        <v>7.1</v>
      </c>
      <c r="L9" s="34">
        <f>'1_Overview'!E20</f>
        <v>88</v>
      </c>
    </row>
    <row r="10" spans="1:12" x14ac:dyDescent="0.35">
      <c r="A10" s="2" t="s">
        <v>136</v>
      </c>
      <c r="B10" s="1" t="s">
        <v>19</v>
      </c>
      <c r="C10" s="1" t="s">
        <v>17</v>
      </c>
      <c r="D10" s="1" t="s">
        <v>16</v>
      </c>
      <c r="E10" s="1" t="s">
        <v>15</v>
      </c>
      <c r="F10" s="9" t="s">
        <v>137</v>
      </c>
      <c r="H10" s="33">
        <f>'1_Overview'!B21</f>
        <v>15</v>
      </c>
      <c r="I10" s="33">
        <f>'1_Overview'!C21</f>
        <v>52</v>
      </c>
      <c r="J10" s="33">
        <f>'1_Overview'!D21</f>
        <v>3.8</v>
      </c>
      <c r="K10" s="33">
        <f>'1_Overview'!F21</f>
        <v>6.8</v>
      </c>
      <c r="L10" s="34">
        <f>'1_Overview'!E21</f>
        <v>92</v>
      </c>
    </row>
    <row r="11" spans="1:12" x14ac:dyDescent="0.35">
      <c r="H11" s="33">
        <f>'1_Overview'!B22</f>
        <v>11</v>
      </c>
      <c r="I11" s="33">
        <f>'1_Overview'!C22</f>
        <v>41</v>
      </c>
      <c r="J11" s="33">
        <f>'1_Overview'!D22</f>
        <v>2.9</v>
      </c>
      <c r="K11" s="33">
        <f>'1_Overview'!F22</f>
        <v>7.4</v>
      </c>
      <c r="L11" s="34">
        <f>'1_Overview'!E22</f>
        <v>85</v>
      </c>
    </row>
    <row r="12" spans="1:12" x14ac:dyDescent="0.35">
      <c r="A12" s="3" t="s">
        <v>138</v>
      </c>
      <c r="H12" s="33">
        <f>'1_Overview'!B23</f>
        <v>18</v>
      </c>
      <c r="I12" s="33">
        <f>'1_Overview'!C23</f>
        <v>60</v>
      </c>
      <c r="J12" s="33">
        <f>'1_Overview'!D23</f>
        <v>4.5</v>
      </c>
      <c r="K12" s="33">
        <f>'1_Overview'!F23</f>
        <v>6.2</v>
      </c>
      <c r="L12" s="34">
        <f>'1_Overview'!E23</f>
        <v>95</v>
      </c>
    </row>
    <row r="13" spans="1:12" x14ac:dyDescent="0.35">
      <c r="A13" s="1" t="s">
        <v>139</v>
      </c>
      <c r="B13" s="10">
        <f>INDEX(LINEST(L9:L18,H9:K18,TRUE,TRUE),3,1)</f>
        <v>0.97546759329682586</v>
      </c>
      <c r="H13" s="33">
        <f>'1_Overview'!B24</f>
        <v>14</v>
      </c>
      <c r="I13" s="33">
        <f>'1_Overview'!C24</f>
        <v>48</v>
      </c>
      <c r="J13" s="33">
        <f>'1_Overview'!D24</f>
        <v>3.5</v>
      </c>
      <c r="K13" s="33">
        <f>'1_Overview'!F24</f>
        <v>7</v>
      </c>
      <c r="L13" s="34">
        <f>'1_Overview'!E24</f>
        <v>90</v>
      </c>
    </row>
    <row r="14" spans="1:12" x14ac:dyDescent="0.35">
      <c r="A14" s="1" t="s">
        <v>140</v>
      </c>
      <c r="B14" s="10">
        <f>INDEX(LINEST(L9:L18,H9:K18,TRUE,TRUE),3,2)</f>
        <v>0.8849149235747561</v>
      </c>
      <c r="H14" s="33">
        <f>'1_Overview'!B25</f>
        <v>20</v>
      </c>
      <c r="I14" s="33">
        <f>'1_Overview'!C25</f>
        <v>65</v>
      </c>
      <c r="J14" s="33">
        <f>'1_Overview'!D25</f>
        <v>5.0999999999999996</v>
      </c>
      <c r="K14" s="33">
        <f>'1_Overview'!F25</f>
        <v>5.9</v>
      </c>
      <c r="L14" s="34">
        <f>'1_Overview'!E25</f>
        <v>98</v>
      </c>
    </row>
    <row r="15" spans="1:12" x14ac:dyDescent="0.35">
      <c r="A15" s="1" t="s">
        <v>141</v>
      </c>
      <c r="B15" s="10">
        <f>INDEX(LINEST(L9:L18,H9:K18,TRUE,TRUE),4,1)</f>
        <v>49.703011464556845</v>
      </c>
      <c r="H15" s="33">
        <f>'1_Overview'!B26</f>
        <v>13</v>
      </c>
      <c r="I15" s="33">
        <f>'1_Overview'!C26</f>
        <v>47</v>
      </c>
      <c r="J15" s="33">
        <f>'1_Overview'!D26</f>
        <v>3.3</v>
      </c>
      <c r="K15" s="33">
        <f>'1_Overview'!F26</f>
        <v>7.2</v>
      </c>
      <c r="L15" s="34">
        <f>'1_Overview'!E26</f>
        <v>87</v>
      </c>
    </row>
    <row r="16" spans="1:12" x14ac:dyDescent="0.35">
      <c r="A16" s="1" t="s">
        <v>142</v>
      </c>
      <c r="B16" s="26">
        <f>INDEX(LINEST(L9:L18,H9:K18,TRUE,TRUE),4,2)</f>
        <v>5</v>
      </c>
      <c r="H16" s="33">
        <f>'1_Overview'!B27</f>
        <v>16</v>
      </c>
      <c r="I16" s="33">
        <f>'1_Overview'!C27</f>
        <v>55</v>
      </c>
      <c r="J16" s="33">
        <f>'1_Overview'!D27</f>
        <v>4</v>
      </c>
      <c r="K16" s="33">
        <f>'1_Overview'!F27</f>
        <v>6.5</v>
      </c>
      <c r="L16" s="34">
        <f>'1_Overview'!E27</f>
        <v>93</v>
      </c>
    </row>
    <row r="17" spans="1:12" x14ac:dyDescent="0.35">
      <c r="A17" s="1" t="s">
        <v>143</v>
      </c>
      <c r="B17" s="10">
        <f>INDEX(LINEST(L9:L18,H9:K18,TRUE,TRUE),5,1)</f>
        <v>155.68462789017337</v>
      </c>
      <c r="H17" s="33">
        <f>'1_Overview'!B28</f>
        <v>17</v>
      </c>
      <c r="I17" s="33">
        <f>'1_Overview'!C28</f>
        <v>58</v>
      </c>
      <c r="J17" s="33">
        <f>'1_Overview'!D28</f>
        <v>4.2</v>
      </c>
      <c r="K17" s="33">
        <f>'1_Overview'!F28</f>
        <v>6.4</v>
      </c>
      <c r="L17" s="34">
        <f>'1_Overview'!E28</f>
        <v>94</v>
      </c>
    </row>
    <row r="18" spans="1:12" x14ac:dyDescent="0.35">
      <c r="A18" s="1" t="s">
        <v>144</v>
      </c>
      <c r="B18" s="10">
        <f>INDEX(LINEST(L9:L18,H9:K18,TRUE,TRUE),5,2)</f>
        <v>3.9153721098265821</v>
      </c>
      <c r="H18" s="33">
        <f>'1_Overview'!B29</f>
        <v>19</v>
      </c>
      <c r="I18" s="33">
        <f>'1_Overview'!C29</f>
        <v>62</v>
      </c>
      <c r="J18" s="33">
        <f>'1_Overview'!D29</f>
        <v>4.8</v>
      </c>
      <c r="K18" s="33">
        <f>'1_Overview'!F29</f>
        <v>6</v>
      </c>
      <c r="L18" s="34">
        <f>'1_Overview'!E29</f>
        <v>96</v>
      </c>
    </row>
    <row r="20" spans="1:12" x14ac:dyDescent="0.35">
      <c r="A20" s="3" t="s">
        <v>145</v>
      </c>
    </row>
    <row r="21" spans="1:12" x14ac:dyDescent="0.35">
      <c r="A21" s="1" t="s">
        <v>146</v>
      </c>
      <c r="B21" s="35">
        <f>PEARSON('1_Overview'!B20:B29,'1_Overview'!E20:E29)</f>
        <v>0.98477048957680424</v>
      </c>
      <c r="C21" s="1">
        <f>CORREL(H9:H18,$L$9:$L$18)</f>
        <v>0.98477048957680424</v>
      </c>
    </row>
    <row r="22" spans="1:12" x14ac:dyDescent="0.35">
      <c r="A22" s="1" t="s">
        <v>147</v>
      </c>
      <c r="B22" s="35">
        <f>PEARSON('1_Overview'!C20:C29,'1_Overview'!E20:E29)</f>
        <v>0.98487363026647301</v>
      </c>
      <c r="C22" s="1">
        <f>CORREL(I9:I18,$L$9:$L$18)</f>
        <v>0.98487363026647301</v>
      </c>
    </row>
    <row r="23" spans="1:12" x14ac:dyDescent="0.35">
      <c r="A23" s="1" t="s">
        <v>148</v>
      </c>
      <c r="B23" s="35">
        <f>PEARSON('1_Overview'!D20:D29,'1_Overview'!E20:E29)</f>
        <v>0.98216950132795799</v>
      </c>
      <c r="C23" s="1">
        <f>CORREL(J9:J18,$L$9:$L$18)</f>
        <v>0.98216950132795799</v>
      </c>
    </row>
    <row r="24" spans="1:12" x14ac:dyDescent="0.35">
      <c r="A24" s="1" t="s">
        <v>149</v>
      </c>
      <c r="B24" s="35">
        <f>PEARSON('1_Overview'!F20:F29,'1_Overview'!E20:E29)</f>
        <v>-0.98418429672668539</v>
      </c>
      <c r="C24" s="1">
        <f>CORREL(K9:K18,$L$9:$L$18)</f>
        <v>-0.98418429672668539</v>
      </c>
    </row>
    <row r="26" spans="1:12" x14ac:dyDescent="0.35">
      <c r="A26" s="3" t="s">
        <v>38</v>
      </c>
    </row>
    <row r="27" spans="1:12" x14ac:dyDescent="0.35">
      <c r="A27" s="1" t="s">
        <v>150</v>
      </c>
    </row>
    <row r="28" spans="1:12" x14ac:dyDescent="0.35">
      <c r="A28" s="1" t="s">
        <v>151</v>
      </c>
    </row>
    <row r="29" spans="1:12" x14ac:dyDescent="0.35">
      <c r="A29" s="1" t="s">
        <v>152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1_Overview</vt:lpstr>
      <vt:lpstr>2_DescriptiveStats</vt:lpstr>
      <vt:lpstr>3_Covariance</vt:lpstr>
      <vt:lpstr>4_Correlation</vt:lpstr>
      <vt:lpstr>5_Standardization</vt:lpstr>
      <vt:lpstr>6_Mahalanobis</vt:lpstr>
      <vt:lpstr>7_PCA</vt:lpstr>
      <vt:lpstr>8_Normality_Outliers</vt:lpstr>
      <vt:lpstr>9_Regression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Ravichandran Vaidyanathan</dc:creator>
  <cp:lastModifiedBy>Ravichandran Vaidyanathan</cp:lastModifiedBy>
  <dcterms:created xsi:type="dcterms:W3CDTF">2026-05-10T22:05:54Z</dcterms:created>
  <dcterms:modified xsi:type="dcterms:W3CDTF">2026-05-11T16:57:48Z</dcterms:modified>
</cp:coreProperties>
</file>