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ichyravis/Library/Mobile Documents/com~apple~CloudDocs/01. Ravis Academics/16. BITs Hyderabad/0A. Courses/04. Financial Analytics/0B. Lecture Sessions/03. Sessions No 3/"/>
    </mc:Choice>
  </mc:AlternateContent>
  <xr:revisionPtr revIDLastSave="0" documentId="13_ncr:1_{722B3D75-0C6D-BD49-A106-3146BB7BE68B}" xr6:coauthVersionLast="47" xr6:coauthVersionMax="47" xr10:uidLastSave="{00000000-0000-0000-0000-000000000000}"/>
  <bookViews>
    <workbookView xWindow="0" yWindow="500" windowWidth="33600" windowHeight="19420" activeTab="7" xr2:uid="{2A3EA350-C371-994E-96BE-58BF89BFC5EB}"/>
  </bookViews>
  <sheets>
    <sheet name="TOC" sheetId="1" r:id="rId1"/>
    <sheet name="1. Introduction" sheetId="2" r:id="rId2"/>
    <sheet name="2. Covariance" sheetId="3" r:id="rId3"/>
    <sheet name="3. Correlation" sheetId="4" r:id="rId4"/>
    <sheet name="4. Regression" sheetId="5" r:id="rId5"/>
    <sheet name="5. Comparison &amp; Pitfalls" sheetId="6" r:id="rId6"/>
    <sheet name="6. Notes" sheetId="7" r:id="rId7"/>
    <sheet name="7. Stock Beta" sheetId="8" r:id="rId8"/>
    <sheet name="8. Categorical Bivariate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9" l="1"/>
  <c r="C69" i="9"/>
  <c r="E66" i="9"/>
  <c r="D66" i="9"/>
  <c r="C66" i="9"/>
  <c r="E65" i="9"/>
  <c r="D65" i="9"/>
  <c r="C65" i="9"/>
  <c r="E64" i="9"/>
  <c r="D64" i="9"/>
  <c r="C64" i="9"/>
  <c r="E63" i="9"/>
  <c r="D63" i="9"/>
  <c r="C63" i="9"/>
  <c r="E62" i="9"/>
  <c r="D62" i="9"/>
  <c r="C62" i="9"/>
  <c r="C73" i="9" s="1"/>
  <c r="C34" i="9"/>
  <c r="C36" i="9" s="1"/>
  <c r="F18" i="9"/>
  <c r="E20" i="9"/>
  <c r="D20" i="9"/>
  <c r="C20" i="9"/>
  <c r="F19" i="9"/>
  <c r="A1" i="9"/>
  <c r="C20" i="1"/>
  <c r="C75" i="8"/>
  <c r="E23" i="8"/>
  <c r="C50" i="8" s="1"/>
  <c r="F45" i="8"/>
  <c r="E45" i="8"/>
  <c r="F44" i="8"/>
  <c r="E44" i="8"/>
  <c r="F43" i="8"/>
  <c r="E43" i="8"/>
  <c r="F42" i="8"/>
  <c r="E42" i="8"/>
  <c r="F41" i="8"/>
  <c r="E41" i="8"/>
  <c r="F40" i="8"/>
  <c r="E40" i="8"/>
  <c r="F39" i="8"/>
  <c r="E39" i="8"/>
  <c r="F38" i="8"/>
  <c r="E38" i="8"/>
  <c r="F37" i="8"/>
  <c r="E37" i="8"/>
  <c r="F36" i="8"/>
  <c r="E36" i="8"/>
  <c r="F35" i="8"/>
  <c r="E35" i="8"/>
  <c r="F34" i="8"/>
  <c r="E34" i="8"/>
  <c r="F33" i="8"/>
  <c r="E33" i="8"/>
  <c r="F32" i="8"/>
  <c r="E32" i="8"/>
  <c r="F31" i="8"/>
  <c r="E31" i="8"/>
  <c r="F30" i="8"/>
  <c r="E30" i="8"/>
  <c r="F29" i="8"/>
  <c r="E29" i="8"/>
  <c r="F28" i="8"/>
  <c r="E28" i="8"/>
  <c r="F27" i="8"/>
  <c r="E27" i="8"/>
  <c r="F26" i="8"/>
  <c r="C49" i="8" s="1"/>
  <c r="E26" i="8"/>
  <c r="C48" i="8" s="1"/>
  <c r="F25" i="8"/>
  <c r="E25" i="8"/>
  <c r="F24" i="8"/>
  <c r="E24" i="8"/>
  <c r="F23" i="8"/>
  <c r="C58" i="8" s="1"/>
  <c r="C76" i="8" s="1"/>
  <c r="A1" i="8"/>
  <c r="C19" i="1"/>
  <c r="C30" i="5"/>
  <c r="E24" i="5" s="1"/>
  <c r="F24" i="5" s="1"/>
  <c r="G24" i="5" s="1"/>
  <c r="C29" i="5"/>
  <c r="D40" i="4"/>
  <c r="A1" i="7"/>
  <c r="C13" i="1"/>
  <c r="A1" i="6"/>
  <c r="C39" i="4"/>
  <c r="C40" i="4" s="1"/>
  <c r="R16" i="5"/>
  <c r="R17" i="5"/>
  <c r="R18" i="5"/>
  <c r="R19" i="5"/>
  <c r="R20" i="5"/>
  <c r="R21" i="5"/>
  <c r="R22" i="5"/>
  <c r="R23" i="5"/>
  <c r="R24" i="5"/>
  <c r="R25" i="5"/>
  <c r="C40" i="5" a="1"/>
  <c r="C40" i="5" s="1"/>
  <c r="C34" i="5"/>
  <c r="C33" i="5"/>
  <c r="C32" i="5"/>
  <c r="A1" i="5"/>
  <c r="F30" i="4"/>
  <c r="H30" i="4" s="1"/>
  <c r="E30" i="4"/>
  <c r="I30" i="4" s="1"/>
  <c r="F27" i="4"/>
  <c r="E27" i="4"/>
  <c r="G27" i="4" s="1"/>
  <c r="F24" i="4"/>
  <c r="H24" i="4" s="1"/>
  <c r="E24" i="4"/>
  <c r="I24" i="4" s="1"/>
  <c r="D33" i="4"/>
  <c r="F29" i="4" s="1"/>
  <c r="H29" i="4" s="1"/>
  <c r="C33" i="4"/>
  <c r="E31" i="4" s="1"/>
  <c r="A1" i="4"/>
  <c r="C32" i="3"/>
  <c r="C31" i="3"/>
  <c r="C29" i="3"/>
  <c r="E25" i="3"/>
  <c r="E24" i="3"/>
  <c r="E23" i="3"/>
  <c r="E22" i="3"/>
  <c r="E21" i="3"/>
  <c r="E19" i="3"/>
  <c r="E18" i="3"/>
  <c r="D27" i="3"/>
  <c r="F20" i="3" s="1"/>
  <c r="C27" i="3"/>
  <c r="E20" i="3" s="1"/>
  <c r="G20" i="3" s="1"/>
  <c r="A1" i="3"/>
  <c r="A1" i="2"/>
  <c r="C12" i="1"/>
  <c r="C11" i="1"/>
  <c r="C10" i="1"/>
  <c r="C9" i="1"/>
  <c r="C8" i="1"/>
  <c r="G31" i="4" l="1"/>
  <c r="D25" i="9"/>
  <c r="D30" i="9" s="1"/>
  <c r="G23" i="3"/>
  <c r="G18" i="3"/>
  <c r="D24" i="9"/>
  <c r="D29" i="9" s="1"/>
  <c r="C78" i="9"/>
  <c r="C62" i="8"/>
  <c r="F18" i="3"/>
  <c r="F21" i="3"/>
  <c r="E25" i="4"/>
  <c r="G30" i="4"/>
  <c r="F22" i="3"/>
  <c r="G22" i="3" s="1"/>
  <c r="F28" i="4"/>
  <c r="H28" i="4" s="1"/>
  <c r="F22" i="4"/>
  <c r="H22" i="4" s="1"/>
  <c r="C52" i="8"/>
  <c r="C51" i="8"/>
  <c r="C53" i="8"/>
  <c r="C57" i="8" s="1"/>
  <c r="E22" i="4"/>
  <c r="F25" i="3"/>
  <c r="G25" i="3" s="1"/>
  <c r="F25" i="4"/>
  <c r="H25" i="4" s="1"/>
  <c r="E28" i="4"/>
  <c r="F23" i="3"/>
  <c r="E23" i="4"/>
  <c r="E26" i="4"/>
  <c r="I26" i="4" s="1"/>
  <c r="E29" i="4"/>
  <c r="I29" i="4" s="1"/>
  <c r="F31" i="4"/>
  <c r="H31" i="4" s="1"/>
  <c r="E18" i="5"/>
  <c r="F18" i="5" s="1"/>
  <c r="G18" i="5" s="1"/>
  <c r="C54" i="8"/>
  <c r="C59" i="8" s="1"/>
  <c r="F20" i="9"/>
  <c r="E21" i="5"/>
  <c r="F21" i="5" s="1"/>
  <c r="C61" i="8"/>
  <c r="C63" i="8" s="1"/>
  <c r="F24" i="3"/>
  <c r="G24" i="3" s="1"/>
  <c r="I27" i="4"/>
  <c r="F19" i="3"/>
  <c r="G19" i="3" s="1"/>
  <c r="F23" i="4"/>
  <c r="H23" i="4" s="1"/>
  <c r="F26" i="4"/>
  <c r="H26" i="4" s="1"/>
  <c r="E19" i="5"/>
  <c r="F19" i="5" s="1"/>
  <c r="C71" i="9"/>
  <c r="C76" i="9" s="1"/>
  <c r="C72" i="9"/>
  <c r="G21" i="3"/>
  <c r="E25" i="5"/>
  <c r="F25" i="5" s="1"/>
  <c r="G25" i="5" s="1"/>
  <c r="C24" i="9"/>
  <c r="G21" i="5"/>
  <c r="S21" i="5"/>
  <c r="C31" i="5"/>
  <c r="E23" i="5"/>
  <c r="F23" i="5" s="1"/>
  <c r="G23" i="5" s="1"/>
  <c r="C39" i="5"/>
  <c r="G19" i="5"/>
  <c r="S19" i="5"/>
  <c r="S25" i="5"/>
  <c r="S18" i="5"/>
  <c r="E17" i="5"/>
  <c r="F17" i="5" s="1"/>
  <c r="E22" i="5"/>
  <c r="F22" i="5" s="1"/>
  <c r="E16" i="5"/>
  <c r="F16" i="5" s="1"/>
  <c r="S24" i="5"/>
  <c r="E20" i="5"/>
  <c r="F20" i="5" s="1"/>
  <c r="G24" i="4"/>
  <c r="H27" i="4"/>
  <c r="G23" i="4"/>
  <c r="G27" i="3" l="1"/>
  <c r="C30" i="3" s="1"/>
  <c r="G29" i="4"/>
  <c r="C35" i="9"/>
  <c r="C38" i="9" s="1"/>
  <c r="C29" i="9"/>
  <c r="S23" i="5"/>
  <c r="I22" i="4"/>
  <c r="I33" i="4" s="1"/>
  <c r="C36" i="4" s="1"/>
  <c r="G22" i="4"/>
  <c r="G33" i="4" s="1"/>
  <c r="C37" i="4" s="1"/>
  <c r="G25" i="4"/>
  <c r="I25" i="4"/>
  <c r="C74" i="9"/>
  <c r="C81" i="9"/>
  <c r="C77" i="9"/>
  <c r="C79" i="9" s="1"/>
  <c r="C80" i="9" s="1"/>
  <c r="C82" i="9" s="1"/>
  <c r="I23" i="4"/>
  <c r="G26" i="4"/>
  <c r="H33" i="4"/>
  <c r="E25" i="9"/>
  <c r="E30" i="9" s="1"/>
  <c r="C25" i="9"/>
  <c r="C30" i="9" s="1"/>
  <c r="E24" i="9"/>
  <c r="E29" i="9" s="1"/>
  <c r="G28" i="4"/>
  <c r="I28" i="4"/>
  <c r="I31" i="4"/>
  <c r="S16" i="5"/>
  <c r="G16" i="5"/>
  <c r="G22" i="5"/>
  <c r="S22" i="5"/>
  <c r="G17" i="5"/>
  <c r="S17" i="5"/>
  <c r="G20" i="5"/>
  <c r="S20" i="5"/>
  <c r="C33" i="9" l="1"/>
  <c r="C37" i="9" s="1"/>
  <c r="C38" i="4"/>
  <c r="C35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<sst xmlns="http://schemas.openxmlformats.org/spreadsheetml/2006/main" count="575" uniqueCount="510">
  <si>
    <t>Bivariate Data Analysis — Study Notes</t>
  </si>
  <si>
    <t>Table of Contents</t>
  </si>
  <si>
    <t>#</t>
  </si>
  <si>
    <t>Section</t>
  </si>
  <si>
    <t>Description</t>
  </si>
  <si>
    <t>What bivariate analysis is, scatterplots, types of relationships</t>
  </si>
  <si>
    <t>Definition, formula, worked example, interpretation, limitations</t>
  </si>
  <si>
    <t>Pearson r, Spearman ρ, worked example, strength &amp; direction</t>
  </si>
  <si>
    <t>Simple linear regression: slope, intercept, R², residuals, prediction</t>
  </si>
  <si>
    <t>Side-by-side comparison, common pitfalls, when to use what</t>
  </si>
  <si>
    <t>How to use these notes</t>
  </si>
  <si>
    <t>• Click any section link above to jump to that tab.</t>
  </si>
  <si>
    <t>• Each tab has: (a) Concept &amp; formula, (b) Worked example with live formulas, (c) Interpretation, (d) Illustration/chart.</t>
  </si>
  <si>
    <t>• Blue cells = inputs you can change. Black cells = calculated results. Yellow = key takeaway.</t>
  </si>
  <si>
    <t>• Every example tab contains a "Back to TOC" link in cell A1.</t>
  </si>
  <si>
    <t>1. Introduction to Bivariate Data Analysis</t>
  </si>
  <si>
    <t>What is bivariate data?</t>
  </si>
  <si>
    <t>Bivariate data consists of two variables measured on the same set of observations. We study how the two variables MOVE TOGETHER (or don’t).</t>
  </si>
  <si>
    <t>Example: (Hours studied, Exam score) for each student. Each student gives one (X, Y) pair.</t>
  </si>
  <si>
    <t>The three core tools</t>
  </si>
  <si>
    <t>Tool</t>
  </si>
  <si>
    <t>Question it answers</t>
  </si>
  <si>
    <t>Output</t>
  </si>
  <si>
    <t>Covariance</t>
  </si>
  <si>
    <t>Do X and Y move in the same direction?</t>
  </si>
  <si>
    <t>A signed number in units of X·Y (scale-dependent)</t>
  </si>
  <si>
    <t>Correlation</t>
  </si>
  <si>
    <t>How strongly (and which direction) are X and Y linearly related?</t>
  </si>
  <si>
    <t>A unit-free number between −1 and +1</t>
  </si>
  <si>
    <t>Regression</t>
  </si>
  <si>
    <t>Given X, what is the best prediction of Y?</t>
  </si>
  <si>
    <t>An equation Y = a + bX plus a goodness-of-fit (R²)</t>
  </si>
  <si>
    <t>Visualising bivariate data — the scatterplot</t>
  </si>
  <si>
    <t>Always plot the data first. The scatterplot below shows three small synthetic datasets illustrating positive, negative, and no linear relationship.</t>
  </si>
  <si>
    <t>X</t>
  </si>
  <si>
    <t>Y (Positive)</t>
  </si>
  <si>
    <t>Y (Negative)</t>
  </si>
  <si>
    <t>Y (None)</t>
  </si>
  <si>
    <t>Key terms</t>
  </si>
  <si>
    <t>Independent variable (X)</t>
  </si>
  <si>
    <t>The explanatory / predictor variable, plotted on the horizontal axis.</t>
  </si>
  <si>
    <t>Dependent variable (Y)</t>
  </si>
  <si>
    <t>The response variable we want to explain or predict, plotted on the vertical axis.</t>
  </si>
  <si>
    <t>Linear relationship</t>
  </si>
  <si>
    <t>Points cluster around a straight line. Covariance and Pearson r measure only this kind.</t>
  </si>
  <si>
    <t>Monotonic relationship</t>
  </si>
  <si>
    <t>As X increases, Y consistently increases (or decreases) — not necessarily in a straight line.</t>
  </si>
  <si>
    <t>Outlier</t>
  </si>
  <si>
    <t>A point far from the bulk. Can distort covariance, correlation, AND regression.</t>
  </si>
  <si>
    <t>⚠ Golden rule: correlation ≠ causation. A relationship between X and Y does not prove X causes Y.</t>
  </si>
  <si>
    <t>2. Covariance</t>
  </si>
  <si>
    <t>Concept</t>
  </si>
  <si>
    <t>Covariance measures the JOINT VARIABILITY of two variables — whether they tend to deviate from their means in the same direction.</t>
  </si>
  <si>
    <t xml:space="preserve">  • Positive cov: when X is above its mean, Y also tends to be above its mean.</t>
  </si>
  <si>
    <t xml:space="preserve">  • Negative cov: when X is above its mean, Y tends to be below its mean.</t>
  </si>
  <si>
    <t xml:space="preserve">  • Cov near 0: no consistent linear co-movement.</t>
  </si>
  <si>
    <t>Formulas</t>
  </si>
  <si>
    <t>Sample covariance:</t>
  </si>
  <si>
    <t>Cov(X,Y) = Σ (Xi − X̄)(Yi − Ȳ) / (n − 1)</t>
  </si>
  <si>
    <t>Population covariance:</t>
  </si>
  <si>
    <t>Cov(X,Y) = Σ (Xi − μx)(Yi − μy) / N</t>
  </si>
  <si>
    <t>Excel:</t>
  </si>
  <si>
    <t>=COVARIANCE.S(X_range, Y_range)  /  =COVARIANCE.P(X_range, Y_range)</t>
  </si>
  <si>
    <t>Worked example: Advertising spend ($000) vs Sales ($000)</t>
  </si>
  <si>
    <t>i</t>
  </si>
  <si>
    <t>X (Ad spend)</t>
  </si>
  <si>
    <t>Y (Sales)</t>
  </si>
  <si>
    <t>Xi − X̄</t>
  </si>
  <si>
    <t>Yi − Ȳ</t>
  </si>
  <si>
    <t>(Xi−X̄)(Yi−Ȳ)</t>
  </si>
  <si>
    <t>Mean</t>
  </si>
  <si>
    <t>Sum:</t>
  </si>
  <si>
    <t>n =</t>
  </si>
  <si>
    <t>Sample Covariance (manual) = Σ(…)/(n−1):</t>
  </si>
  <si>
    <t>Sample Covariance via COVARIANCE.S:</t>
  </si>
  <si>
    <t>Population Covariance via COVARIANCE.P:</t>
  </si>
  <si>
    <t>Interpretation</t>
  </si>
  <si>
    <t>Cov is POSITIVE → ad spend and sales move together. As spend rises, sales rise.</t>
  </si>
  <si>
    <t>Magnitude (~13) is in units of $000 × $000 — hard to interpret directly. That’s why we standardise it into correlation (next tab).</t>
  </si>
  <si>
    <t>Limitations of covariance</t>
  </si>
  <si>
    <t>1. Scale-dependent: changing units (e.g. $ to cents) changes the covariance value, not the underlying relationship.</t>
  </si>
  <si>
    <t>2. Magnitude has no upper bound, so you can’t say “how strong” the relationship is by looking at it.</t>
  </si>
  <si>
    <t>3. Captures only LINEAR co-movement. A perfect curve like Y = X² around X=0 can have cov ≈ 0.</t>
  </si>
  <si>
    <t>4. Sensitive to outliers — a single extreme (X,Y) point can dominate the sum.</t>
  </si>
  <si>
    <t>✨ Takeaway: Covariance tells you the DIRECTION of a linear relationship, but not its strength. Use correlation for strength.</t>
  </si>
  <si>
    <t>3. Correlation</t>
  </si>
  <si>
    <t>Correlation is a STANDARDISED measure of the linear relationship between X and Y. It is unit-free and always between −1 and +1.</t>
  </si>
  <si>
    <t>Pearson correlation coefficient (r)</t>
  </si>
  <si>
    <t>Formula:</t>
  </si>
  <si>
    <t>r = Cov(X,Y) / (sx · sy)   =   Σ(Xi−X̄)(Yi−Ȳ) / √[Σ(Xi−X̄)² · Σ(Yi−Ȳ)²]</t>
  </si>
  <si>
    <t>=PEARSON(X,Y)   or   =CORREL(X,Y)</t>
  </si>
  <si>
    <t>Strength scale (rule of thumb)</t>
  </si>
  <si>
    <t>|r|</t>
  </si>
  <si>
    <t>0.00 – 0.19</t>
  </si>
  <si>
    <t>Very weak / negligible</t>
  </si>
  <si>
    <t>0.20 – 0.39</t>
  </si>
  <si>
    <t>Weak</t>
  </si>
  <si>
    <t>0.40 – 0.59</t>
  </si>
  <si>
    <t>Moderate</t>
  </si>
  <si>
    <t>0.60 – 0.79</t>
  </si>
  <si>
    <t>Strong</t>
  </si>
  <si>
    <t>0.80 – 1.00</t>
  </si>
  <si>
    <t>Very strong / near perfect</t>
  </si>
  <si>
    <t>Worked example: Hours studied vs Exam score</t>
  </si>
  <si>
    <t>X (hours)</t>
  </si>
  <si>
    <t>Y (score)</t>
  </si>
  <si>
    <t>Xi−X̄</t>
  </si>
  <si>
    <t>Yi−Ȳ</t>
  </si>
  <si>
    <t>(Xi−X̄)²</t>
  </si>
  <si>
    <t>(Yi−Ȳ)²</t>
  </si>
  <si>
    <t>Sums →</t>
  </si>
  <si>
    <t>Manual calculation</t>
  </si>
  <si>
    <t>Numerator Σ(Xi−X̄)(Yi−Ȳ) =</t>
  </si>
  <si>
    <t>Denominator √[Σ(Xi−X̄)² · Σ(Yi−Ȳ)²] =</t>
  </si>
  <si>
    <t>Pearson r (manual) =</t>
  </si>
  <si>
    <t>Pearson r via CORREL() =</t>
  </si>
  <si>
    <t>Coefficient of determination r² =</t>
  </si>
  <si>
    <t>r ≈ 0.99 → very strong positive linear relationship between study hours and exam score.</t>
  </si>
  <si>
    <t>Spearman rank correlation (ρ)</t>
  </si>
  <si>
    <t>Use when the relationship is MONOTONIC but not linear, or with ordinal data, or when outliers distort Pearson.</t>
  </si>
  <si>
    <t>Formula: ρ = 1 − 6Σdi² / [n(n²−1)],  where di = rank(Xi) − rank(Yi).</t>
  </si>
  <si>
    <t>Excel: =CORREL(RANK.AVG(X)… , RANK.AVG(Y)…)  applied to the rank columns.</t>
  </si>
  <si>
    <t>Properties of r</t>
  </si>
  <si>
    <t>1. −1 ≤ r ≤ +1.    2. Unit-free.    3. Symmetric: r(X,Y) = r(Y,X).    4. Unaffected by linear rescaling.</t>
  </si>
  <si>
    <t>5. Captures LINEAR association only — r can be 0 for a perfect non-linear relationship.</t>
  </si>
  <si>
    <t>6. Sensitive to outliers — always look at the scatterplot before trusting r.</t>
  </si>
  <si>
    <t>✨ Takeaway: Correlation = standardised covariance. It reveals strength AND direction of LINEAR relationships only.</t>
  </si>
  <si>
    <t>4. Simple Linear Regression</t>
  </si>
  <si>
    <t>Regression fits a line that BEST PREDICTS Y from X by minimising the sum of squared vertical errors (residuals).</t>
  </si>
  <si>
    <t>Model:   Ŷ = a + b·X    where  a = intercept,  b = slope.</t>
  </si>
  <si>
    <t>Formulas (Ordinary Least Squares)</t>
  </si>
  <si>
    <t>Slope:</t>
  </si>
  <si>
    <t>b = Σ(Xi−X̄)(Yi−Ȳ) / Σ(Xi−X̄)²   =   Cov(X,Y) / Var(X)   =   r · (sy/sx)</t>
  </si>
  <si>
    <t>Intercept:</t>
  </si>
  <si>
    <t>a = Ȳ − b·X̄</t>
  </si>
  <si>
    <t>b = SLOPE(Y,X)   a = INTERCEPT(Y,X)   r² = RSQ(Y,X)   Ŷ = TREND(Y,X,newX)</t>
  </si>
  <si>
    <t>Worked example: Temperature (°C) → Ice-cream sales ($)</t>
  </si>
  <si>
    <t>X (Temp °C)</t>
  </si>
  <si>
    <t>Y (Sales $)</t>
  </si>
  <si>
    <t>Predicted Ŷ</t>
  </si>
  <si>
    <t>Residual (Y−Ŷ)</t>
  </si>
  <si>
    <t>Residual²</t>
  </si>
  <si>
    <t>Regression coefficients</t>
  </si>
  <si>
    <t>Slope b =</t>
  </si>
  <si>
    <t>(change in sales per °C)</t>
  </si>
  <si>
    <t>Intercept a =</t>
  </si>
  <si>
    <t>(predicted sales at 0°C — may be extrapolation)</t>
  </si>
  <si>
    <t>Equation:</t>
  </si>
  <si>
    <t>Correlation r =</t>
  </si>
  <si>
    <t>Standard error of estimate (Sy.x) =</t>
  </si>
  <si>
    <t>Sum of squared residuals (SSR) =</t>
  </si>
  <si>
    <t>Prediction tool (try it!)</t>
  </si>
  <si>
    <t>Enter a temperature (°C):</t>
  </si>
  <si>
    <t>Predicted sales ($) =</t>
  </si>
  <si>
    <t>Or with TREND():</t>
  </si>
  <si>
    <t>Slope ≈ 17.86 → each additional °C is associated with ~$17.86 more in sales.</t>
  </si>
  <si>
    <t>Intercept ≈ −$34 → the model says “sales at 0°C”, but 0°C is far below the observed temperature range — do not trust extrapolations.</t>
  </si>
  <si>
    <t>r² ≈ 0.9996 → ~99.96% of variation in sales is explained by temperature in this sample.</t>
  </si>
  <si>
    <t>Assumptions of OLS regression (the “LINE” assumptions)</t>
  </si>
  <si>
    <t>L — Linearity: true relationship is linear in parameters.</t>
  </si>
  <si>
    <t>I — Independence: observations (and residuals) are independent.</t>
  </si>
  <si>
    <t>N — Normality: residuals are approximately normally distributed (matters for inference).</t>
  </si>
  <si>
    <t>E — Equal variance (homoscedasticity): residual spread is constant across X.</t>
  </si>
  <si>
    <t>Diagnostics</t>
  </si>
  <si>
    <t>1. Plot Y vs X to confirm linearity.   2. Plot residuals vs X (or vs Ŷ) to check for patterns / heteroscedasticity.</t>
  </si>
  <si>
    <t>3. Look at r² AND the standard error of estimate (Sy.x).   4. Check for influential outliers.</t>
  </si>
  <si>
    <t>✨ Takeaway: Regression turns the X–Y relationship into a PREDICTIVE EQUATION. Validate with residual plots, not just r².</t>
  </si>
  <si>
    <t>Residual</t>
  </si>
  <si>
    <t>5. Comparison &amp; Common Pitfalls</t>
  </si>
  <si>
    <t>Side-by-side comparison</t>
  </si>
  <si>
    <t>Property</t>
  </si>
  <si>
    <t>Correlation (Pearson r)</t>
  </si>
  <si>
    <t>Regression (OLS)</t>
  </si>
  <si>
    <t>What it measures</t>
  </si>
  <si>
    <t>Direction of joint variation</t>
  </si>
  <si>
    <t>Strength + direction of linear relationship</t>
  </si>
  <si>
    <t>A line that predicts Y from X</t>
  </si>
  <si>
    <t>Range</t>
  </si>
  <si>
    <t>(−∞, +∞)</t>
  </si>
  <si>
    <t>[−1, +1]</t>
  </si>
  <si>
    <t>Slope/intercept can be any real number</t>
  </si>
  <si>
    <t>Units</t>
  </si>
  <si>
    <t>Units of X × Y</t>
  </si>
  <si>
    <t>Unit-free</t>
  </si>
  <si>
    <t>Slope in units of Y per unit X</t>
  </si>
  <si>
    <t>Symmetric in X,Y?</t>
  </si>
  <si>
    <t>Yes</t>
  </si>
  <si>
    <t>NO — regressing Y on X ≠ regressing X on Y</t>
  </si>
  <si>
    <t>Predicts Y?</t>
  </si>
  <si>
    <t>No</t>
  </si>
  <si>
    <t>Excel function</t>
  </si>
  <si>
    <t>COVARIANCE.S / COVARIANCE.P</t>
  </si>
  <si>
    <t>CORREL / PEARSON</t>
  </si>
  <si>
    <t>SLOPE, INTERCEPT, RSQ, TREND, LINEST</t>
  </si>
  <si>
    <t>Key link</t>
  </si>
  <si>
    <t>r = Cov(X,Y) / (sx·sy)</t>
  </si>
  <si>
    <t>b = r · (sy / sx)</t>
  </si>
  <si>
    <t>r² = explained / total variance</t>
  </si>
  <si>
    <t>When to use what</t>
  </si>
  <si>
    <t>• You only want DIRECTION of co-movement (e.g. portfolio diversification math) → covariance.</t>
  </si>
  <si>
    <t>• You want a comparable STRENGTH score across datasets/units → correlation.</t>
  </si>
  <si>
    <t>• You want to PREDICT one variable from another, or quantify effect size → regression.</t>
  </si>
  <si>
    <t>• Relationship looks monotonic but curved → Spearman rank correlation OR transform variables (log, sqrt) then regress.</t>
  </si>
  <si>
    <t>Common pitfalls</t>
  </si>
  <si>
    <t>Pitfall</t>
  </si>
  <si>
    <t>Why it matters</t>
  </si>
  <si>
    <t>Mitigation</t>
  </si>
  <si>
    <t>Correlation ≠ causation</t>
  </si>
  <si>
    <t>High r does not mean X causes Y — could be a lurking variable, reverse causation, or coincidence.</t>
  </si>
  <si>
    <t>Use domain knowledge, controlled experiments, or causal inference.</t>
  </si>
  <si>
    <t>Non-linearity</t>
  </si>
  <si>
    <t>r can be near 0 for perfect curves (e.g. Y=X² symmetric around 0).</t>
  </si>
  <si>
    <t>Always scatterplot. Try Spearman or transformations.</t>
  </si>
  <si>
    <t>Outliers</t>
  </si>
  <si>
    <t>One extreme point can inflate or destroy r and pull the regression line.</t>
  </si>
  <si>
    <t>Inspect, investigate, consider robust methods (Spearman, median regression).</t>
  </si>
  <si>
    <t>Extrapolation</t>
  </si>
  <si>
    <t>Predicting Y for X far outside the observed range is unreliable.</t>
  </si>
  <si>
    <t>Only predict within (or close to) the data range.</t>
  </si>
  <si>
    <t>Simpson’s paradox</t>
  </si>
  <si>
    <t>Relationship within subgroups can REVERSE when groups are combined.</t>
  </si>
  <si>
    <t>Stratify by relevant subgroup; control for confounders.</t>
  </si>
  <si>
    <t>Restricted range</t>
  </si>
  <si>
    <t>Narrow X range artificially lowers |r|.</t>
  </si>
  <si>
    <t>Collect data spanning the full range of interest.</t>
  </si>
  <si>
    <t>Ecological fallacy</t>
  </si>
  <si>
    <t>Correlation at group level does not imply same at individual level.</t>
  </si>
  <si>
    <t>Be explicit about unit of analysis.</t>
  </si>
  <si>
    <t>Heteroscedasticity</t>
  </si>
  <si>
    <t>Non-constant residual variance breaks OLS inference (t-tests, CIs).</t>
  </si>
  <si>
    <t>Plot residuals; use weighted LS or robust SEs.</t>
  </si>
  <si>
    <t>Quick-reference Excel cheatsheet</t>
  </si>
  <si>
    <t>Goal</t>
  </si>
  <si>
    <t>Formula</t>
  </si>
  <si>
    <t>Sample covariance</t>
  </si>
  <si>
    <t>=COVARIANCE.S(X,Y)</t>
  </si>
  <si>
    <t>Pearson r</t>
  </si>
  <si>
    <t>=CORREL(X,Y) or =PEARSON(X,Y)</t>
  </si>
  <si>
    <t>Spearman ρ</t>
  </si>
  <si>
    <t>=CORREL(RANK.AVG-col-X, RANK.AVG-col-Y)</t>
  </si>
  <si>
    <t>Regression slope</t>
  </si>
  <si>
    <t>=SLOPE(Y,X)</t>
  </si>
  <si>
    <t>Regression intercept</t>
  </si>
  <si>
    <t>=INTERCEPT(Y,X)</t>
  </si>
  <si>
    <t>Coefficient of determination r²</t>
  </si>
  <si>
    <t>=RSQ(Y,X)</t>
  </si>
  <si>
    <t>Predict Y for new X</t>
  </si>
  <si>
    <t>=TREND(Y,X,newX)</t>
  </si>
  <si>
    <t>Standard error of estimate</t>
  </si>
  <si>
    <t>=STEYX(Y,X)</t>
  </si>
  <si>
    <t>Full regression stats array</t>
  </si>
  <si>
    <t>=LINEST(Y,X,TRUE,TRUE)  (entered as array)</t>
  </si>
  <si>
    <t>✨ Final takeaway: Covariance → direction.  Correlation → strength.  Regression → prediction. Always plot first.</t>
  </si>
  <si>
    <t>Consolidated notes: all concepts, formulas, differences &amp; limitations</t>
  </si>
  <si>
    <t>6. Bivariate Data Analysis — Consolidated Notes</t>
  </si>
  <si>
    <t>Concepts • Formulas • Interpretation • Differences • Limitations</t>
  </si>
  <si>
    <t>1. Bivariate Data Analysis</t>
  </si>
  <si>
    <t>Definition</t>
  </si>
  <si>
    <t>Statistical analysis of TWO variables (X, Y) measured on the same subjects to study the relationship between them.</t>
  </si>
  <si>
    <t>Determine if X and Y are related, how strongly, in what direction, and (with regression) how to predict one from the other.</t>
  </si>
  <si>
    <t>Types of data</t>
  </si>
  <si>
    <t>Numerical–Numerical (scatter, correlation, regression) • Numerical–Categorical (group comparisons) • Categorical–Categorical (contingency tables, chi-square).</t>
  </si>
  <si>
    <t>Key tools</t>
  </si>
  <si>
    <t>Scatterplot • Covariance • Correlation (Pearson, Spearman, Kendall) • Regression (linear, multiple, logistic).</t>
  </si>
  <si>
    <t>Steps</t>
  </si>
  <si>
    <t>(i) Plot the data → (ii) describe form/direction/strength → (iii) quantify with covariance &amp; correlation → (iv) fit a model if prediction is needed → (v) check residuals.</t>
  </si>
  <si>
    <t>Meaning</t>
  </si>
  <si>
    <t>Measures the JOINT VARIABILITY of X and Y — whether they deviate from their means in the same direction.</t>
  </si>
  <si>
    <t>Sample formula</t>
  </si>
  <si>
    <t>Cov(X,Y) = Σ(Xi − X̄)(Yi − Ȳ) / (n − 1)</t>
  </si>
  <si>
    <t>Population formula</t>
  </si>
  <si>
    <t>Cov(X,Y) = Σ(Xi − μx)(Yi − μy) / N</t>
  </si>
  <si>
    <t>Excel</t>
  </si>
  <si>
    <t>=COVARIANCE.S(X,Y)   or   =COVARIANCE.P(X,Y)</t>
  </si>
  <si>
    <t>Cov &gt; 0 → move in the same direction. Cov &lt; 0 → move in opposite directions. Cov ≈ 0 → no linear co-movement.</t>
  </si>
  <si>
    <t>Units of X × Y — not unit-free, so magnitude is not comparable across datasets.</t>
  </si>
  <si>
    <t>Limitations</t>
  </si>
  <si>
    <t>(i) Scale-dependent. (ii) No fixed range — magnitude is hard to interpret. (iii) Captures linear co-movement only. (iv) Sensitive to outliers.</t>
  </si>
  <si>
    <t>3. Pearson Correlation Coefficient (r)</t>
  </si>
  <si>
    <t>Standardised covariance — measures the strength AND direction of the LINEAR relationship between two numerical variables.</t>
  </si>
  <si>
    <t>r = Cov(X,Y) / (sx · sy) = Σ(Xi−X̄)(Yi−Ȳ) / √[Σ(Xi−X̄)² · Σ(Yi−Ȳ)²]</t>
  </si>
  <si>
    <t>=CORREL(X,Y)   or   =PEARSON(X,Y)</t>
  </si>
  <si>
    <t>−1 ≤ r ≤ +1. Sign = direction; |r| = strength.</t>
  </si>
  <si>
    <t>0.00–0.19 negligible • 0.20–0.39 weak • 0.40–0.59 moderate • 0.60–0.79 strong • 0.80–1.00 very strong.</t>
  </si>
  <si>
    <t>Assumptions</t>
  </si>
  <si>
    <t>Both variables interval/ratio; linear relationship; approximately bivariate normal (for inference); no extreme outliers.</t>
  </si>
  <si>
    <t>Detects LINEAR association only — can be 0 for a perfect non-linear curve. Sensitive to outliers. Affected by restricted range.</t>
  </si>
  <si>
    <t>4. Spearman Rank Correlation (ρ or rs)</t>
  </si>
  <si>
    <t>Formula (no ties)</t>
  </si>
  <si>
    <t>ρ = 1 − 6 · Σdi² / [n(n² − 1)]   where di = rank(Xi) − rank(Yi)</t>
  </si>
  <si>
    <t>Formula (with ties)</t>
  </si>
  <si>
    <t>Use the general Pearson formula on the rank columns: ρ = CORREL(rank(X), rank(Y))</t>
  </si>
  <si>
    <t>Build rank columns with RANK.AVG, then =CORREL(rankX, rankY)</t>
  </si>
  <si>
    <t>−1 ≤ ρ ≤ +1. Same sign/strength interpretation as Pearson, applied to ranks.</t>
  </si>
  <si>
    <t>When to use</t>
  </si>
  <si>
    <t>(i) Ordinal data. (ii) Non-linear but monotonic relationships. (iii) Outliers distort Pearson. (iv) Distributions are non-normal.</t>
  </si>
  <si>
    <t>Discards magnitude information by using ranks. Less powerful than Pearson when the relationship is genuinely linear and normal. Ties require correction.</t>
  </si>
  <si>
    <t>5. Rank Correlation (general)</t>
  </si>
  <si>
    <t>Main types</t>
  </si>
  <si>
    <t>Spearman’s ρ (most common) • Kendall’s τ (based on concordant/discordant pairs) • Goodman–Kruskal gamma (for ordinal tables).</t>
  </si>
  <si>
    <t>Why use ranks?</t>
  </si>
  <si>
    <t>Robust to outliers, distribution-free, works on ordinal data, detects curved monotonic patterns Pearson misses.</t>
  </si>
  <si>
    <t>Kendall’s τ formula</t>
  </si>
  <si>
    <t>τ = (C − D) / [n(n−1)/2]   where C = concordant pairs, D = discordant pairs</t>
  </si>
  <si>
    <t>Spearman vs Kendall</t>
  </si>
  <si>
    <t>Spearman is easier to compute and more familiar; Kendall is more robust for small samples and has a clearer probabilistic interpretation.</t>
  </si>
  <si>
    <t>6. Pearson vs Spearman — Key Differences</t>
  </si>
  <si>
    <t>Aspect</t>
  </si>
  <si>
    <t>Measures</t>
  </si>
  <si>
    <t>Linear association on raw values</t>
  </si>
  <si>
    <t>Data type</t>
  </si>
  <si>
    <t>Interval / ratio (numeric)</t>
  </si>
  <si>
    <t>Distribution</t>
  </si>
  <si>
    <t>Assumes approximate bivariate normality</t>
  </si>
  <si>
    <t>Sensitivity to outliers</t>
  </si>
  <si>
    <t>High — a single outlier can distort r</t>
  </si>
  <si>
    <t>Captures curved monotonic patterns?</t>
  </si>
  <si>
    <t>No — only straight-line patterns</t>
  </si>
  <si>
    <t>Power when assumptions hold</t>
  </si>
  <si>
    <t>Higher (more efficient)</t>
  </si>
  <si>
    <t>=CORREL(X,Y)</t>
  </si>
  <si>
    <t>Use when</t>
  </si>
  <si>
    <t>Linear, numeric, well-behaved data</t>
  </si>
  <si>
    <t>7. Coefficient of Determination (r² / R²)</t>
  </si>
  <si>
    <t>Proportion of the total variation in Y that is EXPLAINED by the regression on X.</t>
  </si>
  <si>
    <t>r² = SSR / SST = 1 − SSE / SST   where SST=Σ(Yi−Ȳ)², SSR=Σ(Ŷi−Ȳ)², SSE=Σ(Yi−Ŷi)²</t>
  </si>
  <si>
    <t>Simple-regression shortcut</t>
  </si>
  <si>
    <t>r² = (Pearson r)²</t>
  </si>
  <si>
    <t>=RSQ(Y,X)   or  =CORREL(X,Y)^2</t>
  </si>
  <si>
    <t>r² = 0.85 → “85% of the variability in Y is explained by X; the remaining 15% is unexplained / due to other factors.”</t>
  </si>
  <si>
    <t>Cautions</t>
  </si>
  <si>
    <t>8. Linear Regression — Slope &amp; Intercept</t>
  </si>
  <si>
    <t>Fits the straight line that minimises the sum of squared vertical distances between observed Y and predicted Ŷ (Ordinary Least Squares).</t>
  </si>
  <si>
    <t>Model</t>
  </si>
  <si>
    <t>Ŷ = a + b·X     (a = intercept,  b = slope)</t>
  </si>
  <si>
    <t>Slope formula</t>
  </si>
  <si>
    <t>b = Σ(Xi−X̄)(Yi−Ȳ) / Σ(Xi−X̄)² = Cov(X,Y)/Var(X) = r · (sy/sx)</t>
  </si>
  <si>
    <t>Intercept formula</t>
  </si>
  <si>
    <t>Slope meaning</t>
  </si>
  <si>
    <t>Expected change in Y for a ONE-UNIT increase in X. Sign tells direction; magnitude tells effect size.</t>
  </si>
  <si>
    <t>Intercept meaning</t>
  </si>
  <si>
    <t>Predicted value of Y when X = 0. Only meaningful if X = 0 is within (or near) the observed range; otherwise it’s extrapolation.</t>
  </si>
  <si>
    <t>=SLOPE(Y,X)  •  =INTERCEPT(Y,X)  •  =TREND(Y,X,newX)  •  =LINEST(Y,X,TRUE,TRUE) for full stats</t>
  </si>
  <si>
    <t>ei = Yi − Ŷi. The line is chosen to make Σei² as small as possible.</t>
  </si>
  <si>
    <t>Sy.x = √[Σ(Yi−Ŷi)² / (n−2)]. Typical size of a prediction error in Y units. Excel: =STEYX(Y,X).</t>
  </si>
  <si>
    <t>Assumptions (LINE)</t>
  </si>
  <si>
    <t>L — Linearity  •  I — Independent observations  •  N — Normally distributed residuals  •  E — Equal residual variance (homoscedasticity).</t>
  </si>
  <si>
    <t>(i) Sensitive to outliers and influential points. (ii) Cannot capture non-linear patterns without transformation. (iii) Extrapolation outside observed X is unreliable. (iv) Does not prove causation.</t>
  </si>
  <si>
    <t>9. How the Three Tools Link Together</t>
  </si>
  <si>
    <t>Step</t>
  </si>
  <si>
    <t>Quantity</t>
  </si>
  <si>
    <t>Cov(X,Y) — raw joint variation</t>
  </si>
  <si>
    <t>Pearson r — strength of linear link</t>
  </si>
  <si>
    <t>Slope b = r · (sy / sx)</t>
  </si>
  <si>
    <t>Ŷ = a + b·X</t>
  </si>
  <si>
    <t>10. Summary of Limitations (all methods)</t>
  </si>
  <si>
    <t>• None of these methods establish CAUSATION — only association.</t>
  </si>
  <si>
    <t>• All are sensitive to OUTLIERS to varying degrees (least: Spearman/Kendall).</t>
  </si>
  <si>
    <t>• Pearson r, covariance, and OLS regression capture LINEAR patterns only.</t>
  </si>
  <si>
    <t>• r² only describes fit on the current sample — high r² doesn’t guarantee good out-of-sample predictions.</t>
  </si>
  <si>
    <t>• Restricted range of X can artificially shrink correlation and slope estimates.</t>
  </si>
  <si>
    <t>• Always SCATTERPLOT first — a number alone can mislead (see Anscombe’s quartet).</t>
  </si>
  <si>
    <t>✨ Master rule: Plot → Quantify (Cov, r) → Model (regression) → Validate (r², residuals, outliers).</t>
  </si>
  <si>
    <r>
      <t>Pearson correlation applied to the RANKS of X and Y. Measures the strength of a MONOTONIC (</t>
    </r>
    <r>
      <rPr>
        <b/>
        <i/>
        <u/>
        <sz val="22"/>
        <color rgb="FFFF0000"/>
        <rFont val="Aptos Narrow (Body)"/>
      </rPr>
      <t>not necessarily linear)</t>
    </r>
    <r>
      <rPr>
        <sz val="22"/>
        <color theme="1"/>
        <rFont val="Aptos Narrow"/>
        <family val="2"/>
        <scheme val="minor"/>
      </rPr>
      <t xml:space="preserve"> relationship.</t>
    </r>
  </si>
  <si>
    <r>
      <t xml:space="preserve">A family of correlation measures based on the </t>
    </r>
    <r>
      <rPr>
        <b/>
        <i/>
        <u/>
        <sz val="22"/>
        <color rgb="FFFF0000"/>
        <rFont val="Consolas"/>
        <family val="2"/>
      </rPr>
      <t>RANKS of observations</t>
    </r>
    <r>
      <rPr>
        <sz val="22"/>
        <color theme="1"/>
        <rFont val="Consolas"/>
        <family val="2"/>
      </rPr>
      <t xml:space="preserve"> rather than raw values. Captures monotonic association.</t>
    </r>
  </si>
  <si>
    <r>
      <rPr>
        <b/>
        <sz val="22"/>
        <color rgb="FF0432FF"/>
        <rFont val="Aptos Narrow (Body)"/>
      </rPr>
      <t>0 ≤ r² ≤ 1.</t>
    </r>
    <r>
      <rPr>
        <sz val="22"/>
        <color theme="1"/>
        <rFont val="Aptos Narrow"/>
        <family val="2"/>
        <scheme val="minor"/>
      </rPr>
      <t xml:space="preserve">   0 = model explains nothing.  1 = model explains everything.</t>
    </r>
  </si>
  <si>
    <r>
      <t xml:space="preserve">(i) High r² ≠ correct model. (ii) r² only describes fit IN-SAMPLE. (iii) Adding predictors always raises r² → use Adjusted R² for multiple regression. (iv) </t>
    </r>
    <r>
      <rPr>
        <sz val="22"/>
        <color rgb="FFFF0000"/>
        <rFont val="Aptos Narrow (Body)"/>
      </rPr>
      <t>Not a measure of causation</t>
    </r>
    <r>
      <rPr>
        <sz val="22"/>
        <color theme="1"/>
        <rFont val="Aptos Narrow"/>
        <family val="2"/>
        <scheme val="minor"/>
      </rPr>
      <t>.</t>
    </r>
  </si>
  <si>
    <t>r² ≈ 0.99 → ~99% of the variation in exam score is explained by hours studied (in this sample).</t>
  </si>
  <si>
    <t>Real-world bivariate case: estimating a stock’s β vs. the market</t>
  </si>
  <si>
    <t>7. Stock Beta (β) — Bivariate Analysis in Finance</t>
  </si>
  <si>
    <t>Combines covariance, correlation, and linear regression on stock vs. market returns</t>
  </si>
  <si>
    <t>What is Beta?</t>
  </si>
  <si>
    <t>Beta (β) measures a stock's SYSTEMATIC RISK — how much the stock's return moves when the market return moves by 1%.</t>
  </si>
  <si>
    <t xml:space="preserve">  • β &gt; 1 : stock is more volatile than the market (aggressive)</t>
  </si>
  <si>
    <t xml:space="preserve">  • β = 1 : stock moves with the market</t>
  </si>
  <si>
    <t xml:space="preserve">  • 0 &lt; β &lt; 1 : stock is less volatile than the market (defensive)</t>
  </si>
  <si>
    <t xml:space="preserve">  • β &lt; 0 : stock moves OPPOSITE to the market (rare — e.g. gold miners, inverse ETFs)</t>
  </si>
  <si>
    <t>Definition:</t>
  </si>
  <si>
    <t>β = Cov(Rstock, Rmarket) / Var(Rmarket)</t>
  </si>
  <si>
    <t>Equivalent (regression):</t>
  </si>
  <si>
    <t>Rstock = α + β · Rmarket + ε      →   β = SLOPE(stock_returns, market_returns)</t>
  </si>
  <si>
    <t>Equivalent (via correlation):</t>
  </si>
  <si>
    <t>β = ρ(stock,market) · (σstock / σmarket)</t>
  </si>
  <si>
    <t>Excel one-liner:</t>
  </si>
  <si>
    <t>=SLOPE(stockReturns, marketReturns)     /     =COVARIANCE.S(s,m) / VAR.S(m)</t>
  </si>
  <si>
    <t>Worked example: 24 months of prices for Stock "XYZ" vs Market Index</t>
  </si>
  <si>
    <t>Blue cells = inputs (price data). Yellow cells = key outputs.</t>
  </si>
  <si>
    <t>Month</t>
  </si>
  <si>
    <t>Market Index</t>
  </si>
  <si>
    <t>XYZ Price ($)</t>
  </si>
  <si>
    <t>Rmarket (%)</t>
  </si>
  <si>
    <t>Rstock (%)</t>
  </si>
  <si>
    <t>—</t>
  </si>
  <si>
    <t>Calculation block (uses 23 monthly returns)</t>
  </si>
  <si>
    <t>Mean monthly return — Market:</t>
  </si>
  <si>
    <t>Mean monthly return — XYZ:</t>
  </si>
  <si>
    <t>Std dev of returns — Market (σm):</t>
  </si>
  <si>
    <t>Std dev of returns — XYZ (σs):</t>
  </si>
  <si>
    <t>Variance of market returns (σm²):</t>
  </si>
  <si>
    <t>Covariance(XYZ, Market):</t>
  </si>
  <si>
    <t>Correlation ρ(XYZ, Market):</t>
  </si>
  <si>
    <t>Beta (β) — three equivalent methods</t>
  </si>
  <si>
    <t>Method 1: β = Cov / Var(market)</t>
  </si>
  <si>
    <t>Method 2: β = SLOPE(stock, market)</t>
  </si>
  <si>
    <t>Method 3: β = ρ · (σstock / σmarket)</t>
  </si>
  <si>
    <t>Alpha (α) — regression intercept:</t>
  </si>
  <si>
    <t>R² — % of XYZ variance explained by market:</t>
  </si>
  <si>
    <t>Regression equation:</t>
  </si>
  <si>
    <t>β ≈ 2.68 → XYZ is HIGHLY AGGRESSIVE: a 1% move in the market drives ~2.68% in XYZ. Roughly 2.7× the market’s systematic risk.</t>
  </si>
  <si>
    <t>Correlation ≈ 0.99 → returns move almost perfectly together — the linear model is a great fit.</t>
  </si>
  <si>
    <t>R² ≈ 0.98 → ~98% of XYZ’s monthly return variance is explained by market movements; ~2% is firm-specific (idiosyncratic) risk.</t>
  </si>
  <si>
    <t>Alpha ≈ −0.24%/month → after accounting for market exposure, XYZ slightly UNDERPERFORMS what its risk level predicts.</t>
  </si>
  <si>
    <t>CAPM application — Required return on XYZ</t>
  </si>
  <si>
    <t>CAPM: E(R) = Rf + β · (Rm − Rf)</t>
  </si>
  <si>
    <t>Risk-free rate (Rf, annual):</t>
  </si>
  <si>
    <t>← e.g. 10-yr T-bill yield</t>
  </si>
  <si>
    <t>Expected market return (Rm, annual):</t>
  </si>
  <si>
    <t>← long-run equity assumption</t>
  </si>
  <si>
    <t>Market risk premium (Rm − Rf):</t>
  </si>
  <si>
    <t>Required return on XYZ (annual):</t>
  </si>
  <si>
    <t>Limitations &amp; caveats</t>
  </si>
  <si>
    <t>• β is BACKWARD-LOOKING — estimated from historical returns. Future β may differ.</t>
  </si>
  <si>
    <t>• β depends on the chosen MARKET PROXY (S&amp;P 500 vs MSCI World vs sector index) and the RETURN FREQUENCY (daily, weekly, monthly).</t>
  </si>
  <si>
    <t>• β captures SYSTEMATIC RISK only — not idiosyncratic (firm-specific) risk, which can be diversified away.</t>
  </si>
  <si>
    <t>• The relationship is assumed LINEAR — if the stock has option-like payoffs, β alone misses non-linear exposure.</t>
  </si>
  <si>
    <t>• Outliers (crash months, earnings surprises) can heavily influence β. Consider trimming or using robust regression.</t>
  </si>
  <si>
    <t>✨ Takeaway: β is bivariate analysis applied to finance — it’s the SLOPE of the regression of stock returns on market returns, equivalently Cov/Var, equivalently ρ·(σs/σm).</t>
  </si>
  <si>
    <t>CAPM Model</t>
  </si>
  <si>
    <t>assumed</t>
  </si>
  <si>
    <t>Handling categorical variables: contingency tables, chi-square, ANOVA</t>
  </si>
  <si>
    <t>8. Bivariate Analysis with Categorical Variables</t>
  </si>
  <si>
    <t>Two illustrations: (A) Categorical × Categorical and (B) Categorical × Numerical</t>
  </si>
  <si>
    <t>Short answer: YES.</t>
  </si>
  <si>
    <t>Bivariate analysis is not limited to two numeric variables. The right TOOLS just change with the data type:</t>
  </si>
  <si>
    <t>Variable types</t>
  </si>
  <si>
    <t>Typical tools</t>
  </si>
  <si>
    <t>Visual</t>
  </si>
  <si>
    <t>Numerical × Numerical</t>
  </si>
  <si>
    <t>Covariance, Pearson/Spearman correlation, regression</t>
  </si>
  <si>
    <t>Scatterplot</t>
  </si>
  <si>
    <t>Numerical × Categorical</t>
  </si>
  <si>
    <t>Group means/medians, t-test, ANOVA, point-biserial r</t>
  </si>
  <si>
    <t>Side-by-side box-plots, bar of means</t>
  </si>
  <si>
    <t>Categorical × Categorical</t>
  </si>
  <si>
    <t>Contingency table, chi-square test, Cramer’s V, odds ratio</t>
  </si>
  <si>
    <t>Clustered/stacked bar, mosaic plot</t>
  </si>
  <si>
    <t>▶ ILLUSTRATION A — Categorical × Categorical: Gender vs Product Preference</t>
  </si>
  <si>
    <t>Setup</t>
  </si>
  <si>
    <t>200 customers were asked which of three products (A, B, C) they prefer. Is preference INDEPENDENT of gender?</t>
  </si>
  <si>
    <t>Step 1 — Observed contingency table (counts)</t>
  </si>
  <si>
    <t>Observed (O)</t>
  </si>
  <si>
    <t>Product A</t>
  </si>
  <si>
    <t>Product B</t>
  </si>
  <si>
    <t>Product C</t>
  </si>
  <si>
    <t>Row total</t>
  </si>
  <si>
    <t>Male</t>
  </si>
  <si>
    <t>Female</t>
  </si>
  <si>
    <t>Column total</t>
  </si>
  <si>
    <t>Step 2 — Expected counts under independence:  E = (RowTotal × ColTotal) / GrandTotal</t>
  </si>
  <si>
    <t>Expected (E)</t>
  </si>
  <si>
    <t>Step 3 — Chi-square contributions:  (O − E)² / E</t>
  </si>
  <si>
    <t>(O−E)²/E</t>
  </si>
  <si>
    <t>Step 4 — Test statistic &amp; decision</t>
  </si>
  <si>
    <t>Chi-square statistic χ² = Σ(O−E)²/E:</t>
  </si>
  <si>
    <t>Degrees of freedom = (rows−1)×(cols−1):</t>
  </si>
  <si>
    <t>p-value (CHISQ.TEST):</t>
  </si>
  <si>
    <t>Critical value at α = 0.05:</t>
  </si>
  <si>
    <t>Cramer’s V (effect size) = √[χ² / (N · min(r−1,c−1))]:</t>
  </si>
  <si>
    <t>Decision:</t>
  </si>
  <si>
    <t>Observed cells differ from “what you’d expect if gender and product were independent”. The χ² statistic summarises that total mismatch.</t>
  </si>
  <si>
    <t>p &lt; 0.05 → the association is statistically significant. Cramer’s V ≈ 0.26 indicates a MODERATE effect size.</t>
  </si>
  <si>
    <t>Reading the table: males skew toward Product A; females skew toward Product B; Product C is roughly even.</t>
  </si>
  <si>
    <t>▶ ILLUSTRATION B — Numerical × Categorical: Salary by Department</t>
  </si>
  <si>
    <t>Annual salaries ($000) for 7 employees in each of three departments. Does mean salary differ across departments?</t>
  </si>
  <si>
    <t>Raw data</t>
  </si>
  <si>
    <t>Employee #</t>
  </si>
  <si>
    <t>Engineering</t>
  </si>
  <si>
    <t>Sales</t>
  </si>
  <si>
    <t>HR</t>
  </si>
  <si>
    <t>Group summary statistics</t>
  </si>
  <si>
    <t>Statistic</t>
  </si>
  <si>
    <t>n</t>
  </si>
  <si>
    <t>Std deviation</t>
  </si>
  <si>
    <t>Min</t>
  </si>
  <si>
    <t>Max</t>
  </si>
  <si>
    <t>One-way ANOVA (manual)</t>
  </si>
  <si>
    <t>Grand mean (Ȳ̄):</t>
  </si>
  <si>
    <t>k (groups):</t>
  </si>
  <si>
    <t>N (total observations):</t>
  </si>
  <si>
    <t>SS-Between = Σ nj·(Ȳj − Ȳ̄)²:</t>
  </si>
  <si>
    <t>SS-Within = Σ (nj−1)·sj²:</t>
  </si>
  <si>
    <t>SS-Total = SS-Between + SS-Within:</t>
  </si>
  <si>
    <t>df-Between = k − 1:</t>
  </si>
  <si>
    <t>df-Within = N − k:</t>
  </si>
  <si>
    <t>MS-Between = SS-Between / df-Between:</t>
  </si>
  <si>
    <t>MS-Within = SS-Within / df-Within:</t>
  </si>
  <si>
    <t>F-statistic = MS-Between / MS-Within:</t>
  </si>
  <si>
    <t>p-value (F.DIST.RT):</t>
  </si>
  <si>
    <t>Eta-squared (η²) effect size = SS-Between / SS-Total:</t>
  </si>
  <si>
    <t>Decision @ α = 0.05:</t>
  </si>
  <si>
    <t>F ≈ 130, p ≈ 0 → strongly reject H₀. The three departments have DIFFERENT mean salaries.</t>
  </si>
  <si>
    <t>η² ≈ 0.93 → ~93% of the variance in salary is explained by department — a very large effect.</t>
  </si>
  <si>
    <t>Group means: Engineering ≈ $104k, Sales ≈ $77k, HR ≈ $60k. ANOVA confirms these differences are statistically significant.</t>
  </si>
  <si>
    <t>Note: For only TWO categories (e.g. Male vs Female salary), an independent-samples t-test is equivalent (F = t²).</t>
  </si>
  <si>
    <t>Key takeaways</t>
  </si>
  <si>
    <t>1. Bivariate analysis covers ALL combinations of variable types — not just numeric × numeric.</t>
  </si>
  <si>
    <t>2. Categorical × Categorical → contingency table + chi-square test + Cramer’s V for effect size.</t>
  </si>
  <si>
    <t>3. Numerical × Categorical (2 groups) → t-test;  (3+ groups) → ANOVA + η² for effect size.</t>
  </si>
  <si>
    <t>4. The PRINCIPLE is the same as for numerical data — compare what you see to what independence/no-difference would predict.</t>
  </si>
  <si>
    <t>✨ Bottom line: categorical doesn't mean you can't analyze relationships — you just swap correlation/regression for chi-square/ANOVA.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</si>
</sst>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&quot;₹&quot;#,##0.00"/>
    <numFmt numFmtId="166" formatCode="0.000000"/>
    <numFmt numFmtId="167" formatCode="0.0000%"/>
  </numFmts>
  <fonts count="4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22"/>
      <color rgb="FFFFFFFF"/>
      <name val="Aptos Narrow"/>
      <family val="2"/>
      <scheme val="minor"/>
    </font>
    <font>
      <b/>
      <u/>
      <sz val="12"/>
      <color rgb="FF0563C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rgb="FF7F6000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color rgb="FF1F4E78"/>
      <name val="Aptos Narrow"/>
      <family val="2"/>
      <scheme val="minor"/>
    </font>
    <font>
      <b/>
      <u/>
      <sz val="22"/>
      <color rgb="FF0563C1"/>
      <name val="Aptos Narrow"/>
      <family val="2"/>
      <scheme val="minor"/>
    </font>
    <font>
      <b/>
      <sz val="22"/>
      <color rgb="FF2E75B6"/>
      <name val="Aptos Narrow"/>
      <family val="2"/>
      <scheme val="minor"/>
    </font>
    <font>
      <i/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rgb="FF7F6000"/>
      <name val="Aptos Narrow"/>
      <family val="2"/>
      <scheme val="minor"/>
    </font>
    <font>
      <b/>
      <sz val="22"/>
      <color rgb="FFBF8F00"/>
      <name val="Aptos Narrow"/>
      <family val="2"/>
      <scheme val="minor"/>
    </font>
    <font>
      <sz val="22"/>
      <color theme="1"/>
      <name val="Consolas"/>
      <family val="2"/>
    </font>
    <font>
      <sz val="22"/>
      <color rgb="FF0000FF"/>
      <name val="Aptos Narrow"/>
      <family val="2"/>
      <scheme val="minor"/>
    </font>
    <font>
      <b/>
      <sz val="22"/>
      <color rgb="FF548235"/>
      <name val="Aptos Narrow"/>
      <family val="2"/>
      <scheme val="minor"/>
    </font>
    <font>
      <b/>
      <sz val="22"/>
      <color rgb="FFC00000"/>
      <name val="Aptos Narrow"/>
      <family val="2"/>
      <scheme val="minor"/>
    </font>
    <font>
      <b/>
      <sz val="22"/>
      <color rgb="FF0000FF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i/>
      <sz val="22"/>
      <color rgb="FFFFFFFF"/>
      <name val="Aptos Narrow"/>
      <family val="2"/>
      <scheme val="minor"/>
    </font>
    <font>
      <b/>
      <sz val="22"/>
      <color rgb="FFFFFFFF"/>
      <name val="Consolas"/>
      <family val="2"/>
    </font>
    <font>
      <sz val="22"/>
      <color rgb="FF0432FF"/>
      <name val="Aptos Narrow"/>
      <family val="2"/>
      <scheme val="minor"/>
    </font>
    <font>
      <sz val="22"/>
      <color rgb="FFFF0000"/>
      <name val="Aptos Narrow (Body)"/>
    </font>
    <font>
      <b/>
      <i/>
      <u/>
      <sz val="22"/>
      <color rgb="FFFF0000"/>
      <name val="Aptos Narrow (Body)"/>
    </font>
    <font>
      <b/>
      <sz val="22"/>
      <color rgb="FFFF0000"/>
      <name val="Consolas"/>
      <family val="2"/>
    </font>
    <font>
      <b/>
      <i/>
      <u/>
      <sz val="22"/>
      <color rgb="FFFF0000"/>
      <name val="Consolas"/>
      <family val="2"/>
    </font>
    <font>
      <b/>
      <sz val="22"/>
      <color rgb="FF0432FF"/>
      <name val="Aptos Narrow (Body)"/>
    </font>
    <font>
      <b/>
      <i/>
      <sz val="22"/>
      <color rgb="FF0432FF"/>
      <name val="Aptos Narrow (Body)"/>
    </font>
    <font>
      <b/>
      <sz val="22"/>
      <color rgb="FF0432FF"/>
      <name val="Aptos Narrow"/>
      <scheme val="minor"/>
    </font>
    <font>
      <b/>
      <sz val="22"/>
      <color rgb="FFFF0000"/>
      <name val="Aptos Narrow"/>
      <scheme val="minor"/>
    </font>
    <font>
      <sz val="22"/>
      <color theme="9" tint="-0.249977111117893"/>
      <name val="Aptos Narrow"/>
      <family val="2"/>
      <scheme val="minor"/>
    </font>
    <font>
      <b/>
      <sz val="22"/>
      <color rgb="FF1F6091"/>
      <name val="Aptos Narrow"/>
      <family val="2"/>
      <scheme val="minor"/>
    </font>
    <font>
      <b/>
      <i/>
      <sz val="22"/>
      <color rgb="FF595959"/>
      <name val="Aptos Narrow"/>
      <family val="2"/>
      <scheme val="minor"/>
    </font>
    <font>
      <sz val="22"/>
      <color rgb="FF999999"/>
      <name val="Aptos Narrow"/>
      <family val="2"/>
      <scheme val="minor"/>
    </font>
    <font>
      <b/>
      <sz val="22"/>
      <color theme="1"/>
      <name val="Consolas"/>
      <family val="2"/>
    </font>
    <font>
      <i/>
      <sz val="22"/>
      <color rgb="FF595959"/>
      <name val="Aptos Narrow"/>
      <family val="2"/>
      <scheme val="minor"/>
    </font>
    <font>
      <b/>
      <sz val="14"/>
      <color rgb="FFE97132"/>
      <name val="Aptos Narrow"/>
      <family val="2"/>
      <scheme val="minor"/>
    </font>
    <font>
      <b/>
      <sz val="22"/>
      <color rgb="FFE97132"/>
      <name val="Aptos Narrow"/>
      <family val="2"/>
      <scheme val="minor"/>
    </font>
    <font>
      <b/>
      <sz val="12"/>
      <color rgb="FFE97132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1F6091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F4B18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6" fillId="6" borderId="0" xfId="0" applyFont="1" applyFill="1"/>
    <xf numFmtId="0" fontId="7" fillId="0" borderId="0" xfId="0" applyFont="1"/>
    <xf numFmtId="0" fontId="8" fillId="0" borderId="0" xfId="0" applyFont="1"/>
    <xf numFmtId="0" fontId="7" fillId="4" borderId="0" xfId="0" applyFont="1" applyFill="1" applyAlignment="1">
      <alignment horizontal="center"/>
    </xf>
    <xf numFmtId="0" fontId="9" fillId="4" borderId="0" xfId="1" applyFont="1" applyFill="1"/>
    <xf numFmtId="0" fontId="7" fillId="4" borderId="0" xfId="0" applyFont="1" applyFill="1"/>
    <xf numFmtId="0" fontId="7" fillId="5" borderId="0" xfId="0" applyFont="1" applyFill="1" applyAlignment="1">
      <alignment horizontal="center"/>
    </xf>
    <xf numFmtId="0" fontId="9" fillId="5" borderId="0" xfId="1" applyFont="1" applyFill="1"/>
    <xf numFmtId="0" fontId="7" fillId="5" borderId="0" xfId="0" applyFont="1" applyFill="1"/>
    <xf numFmtId="0" fontId="7" fillId="6" borderId="0" xfId="0" applyFont="1" applyFill="1" applyAlignment="1">
      <alignment horizontal="center"/>
    </xf>
    <xf numFmtId="0" fontId="9" fillId="6" borderId="0" xfId="1" applyFont="1" applyFill="1"/>
    <xf numFmtId="0" fontId="7" fillId="6" borderId="0" xfId="0" applyFont="1" applyFill="1"/>
    <xf numFmtId="0" fontId="7" fillId="7" borderId="0" xfId="0" applyFont="1" applyFill="1" applyAlignment="1">
      <alignment horizontal="center"/>
    </xf>
    <xf numFmtId="0" fontId="9" fillId="7" borderId="0" xfId="1" applyFont="1" applyFill="1"/>
    <xf numFmtId="0" fontId="7" fillId="7" borderId="0" xfId="0" applyFont="1" applyFill="1"/>
    <xf numFmtId="0" fontId="7" fillId="8" borderId="0" xfId="0" applyFont="1" applyFill="1" applyAlignment="1">
      <alignment horizontal="center"/>
    </xf>
    <xf numFmtId="0" fontId="9" fillId="8" borderId="0" xfId="1" applyFont="1" applyFill="1"/>
    <xf numFmtId="0" fontId="7" fillId="8" borderId="0" xfId="0" applyFont="1" applyFill="1"/>
    <xf numFmtId="0" fontId="9" fillId="0" borderId="0" xfId="1" applyFont="1"/>
    <xf numFmtId="0" fontId="2" fillId="3" borderId="0" xfId="0" applyFont="1" applyFill="1"/>
    <xf numFmtId="0" fontId="10" fillId="0" borderId="0" xfId="0" applyFont="1"/>
    <xf numFmtId="0" fontId="11" fillId="0" borderId="0" xfId="0" applyFont="1"/>
    <xf numFmtId="0" fontId="12" fillId="4" borderId="0" xfId="0" applyFont="1" applyFill="1"/>
    <xf numFmtId="0" fontId="10" fillId="4" borderId="0" xfId="0" applyFont="1" applyFill="1"/>
    <xf numFmtId="0" fontId="2" fillId="3" borderId="0" xfId="0" applyFont="1" applyFill="1" applyAlignment="1">
      <alignment horizontal="center"/>
    </xf>
    <xf numFmtId="0" fontId="12" fillId="0" borderId="0" xfId="0" applyFont="1"/>
    <xf numFmtId="0" fontId="13" fillId="6" borderId="0" xfId="0" applyFont="1" applyFill="1"/>
    <xf numFmtId="0" fontId="2" fillId="11" borderId="0" xfId="0" applyFont="1" applyFill="1"/>
    <xf numFmtId="0" fontId="14" fillId="0" borderId="0" xfId="0" applyFont="1"/>
    <xf numFmtId="0" fontId="15" fillId="6" borderId="0" xfId="0" applyFont="1" applyFill="1"/>
    <xf numFmtId="0" fontId="15" fillId="6" borderId="0" xfId="0" quotePrefix="1" applyFont="1" applyFill="1"/>
    <xf numFmtId="0" fontId="2" fillId="11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16" fillId="0" borderId="0" xfId="0" applyFont="1"/>
    <xf numFmtId="2" fontId="7" fillId="0" borderId="0" xfId="0" applyNumberFormat="1" applyFont="1"/>
    <xf numFmtId="0" fontId="12" fillId="12" borderId="0" xfId="0" applyFont="1" applyFill="1"/>
    <xf numFmtId="2" fontId="12" fillId="12" borderId="0" xfId="0" applyNumberFormat="1" applyFont="1" applyFill="1"/>
    <xf numFmtId="0" fontId="12" fillId="12" borderId="0" xfId="0" applyFont="1" applyFill="1" applyAlignment="1">
      <alignment horizontal="right"/>
    </xf>
    <xf numFmtId="2" fontId="12" fillId="0" borderId="0" xfId="0" applyNumberFormat="1" applyFont="1"/>
    <xf numFmtId="164" fontId="12" fillId="0" borderId="0" xfId="0" applyNumberFormat="1" applyFont="1"/>
    <xf numFmtId="164" fontId="12" fillId="6" borderId="0" xfId="0" applyNumberFormat="1" applyFont="1" applyFill="1"/>
    <xf numFmtId="0" fontId="2" fillId="9" borderId="0" xfId="0" applyFont="1" applyFill="1"/>
    <xf numFmtId="0" fontId="17" fillId="0" borderId="0" xfId="0" applyFont="1"/>
    <xf numFmtId="0" fontId="15" fillId="5" borderId="0" xfId="0" applyFont="1" applyFill="1"/>
    <xf numFmtId="0" fontId="15" fillId="5" borderId="0" xfId="0" quotePrefix="1" applyFont="1" applyFill="1"/>
    <xf numFmtId="0" fontId="2" fillId="9" borderId="0" xfId="0" applyFont="1" applyFill="1" applyAlignment="1">
      <alignment horizontal="center"/>
    </xf>
    <xf numFmtId="0" fontId="12" fillId="10" borderId="0" xfId="0" applyFont="1" applyFill="1"/>
    <xf numFmtId="2" fontId="12" fillId="10" borderId="0" xfId="0" applyNumberFormat="1" applyFont="1" applyFill="1"/>
    <xf numFmtId="0" fontId="7" fillId="10" borderId="0" xfId="0" applyFont="1" applyFill="1"/>
    <xf numFmtId="0" fontId="12" fillId="10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2" fillId="13" borderId="0" xfId="0" applyFont="1" applyFill="1"/>
    <xf numFmtId="0" fontId="18" fillId="0" borderId="0" xfId="0" applyFont="1"/>
    <xf numFmtId="0" fontId="15" fillId="7" borderId="0" xfId="0" applyFont="1" applyFill="1"/>
    <xf numFmtId="0" fontId="2" fillId="13" borderId="0" xfId="0" applyFont="1" applyFill="1" applyAlignment="1">
      <alignment horizontal="center"/>
    </xf>
    <xf numFmtId="0" fontId="12" fillId="6" borderId="0" xfId="0" applyFont="1" applyFill="1"/>
    <xf numFmtId="0" fontId="19" fillId="6" borderId="0" xfId="0" applyFont="1" applyFill="1"/>
    <xf numFmtId="165" fontId="12" fillId="6" borderId="0" xfId="0" applyNumberFormat="1" applyFont="1" applyFill="1"/>
    <xf numFmtId="165" fontId="12" fillId="0" borderId="0" xfId="0" applyNumberFormat="1" applyFont="1"/>
    <xf numFmtId="0" fontId="2" fillId="14" borderId="0" xfId="0" applyFont="1" applyFill="1"/>
    <xf numFmtId="0" fontId="20" fillId="0" borderId="0" xfId="0" applyFont="1"/>
    <xf numFmtId="0" fontId="12" fillId="8" borderId="0" xfId="0" applyFont="1" applyFill="1"/>
    <xf numFmtId="0" fontId="15" fillId="8" borderId="0" xfId="0" applyFont="1" applyFill="1"/>
    <xf numFmtId="0" fontId="20" fillId="8" borderId="0" xfId="0" applyFont="1" applyFill="1"/>
    <xf numFmtId="0" fontId="15" fillId="8" borderId="0" xfId="0" quotePrefix="1" applyFont="1" applyFill="1"/>
    <xf numFmtId="0" fontId="7" fillId="15" borderId="0" xfId="0" applyFont="1" applyFill="1"/>
    <xf numFmtId="0" fontId="7" fillId="15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5" fillId="5" borderId="0" xfId="0" applyFont="1" applyFill="1" applyAlignment="1">
      <alignment vertical="top" wrapText="1"/>
    </xf>
    <xf numFmtId="0" fontId="15" fillId="5" borderId="0" xfId="0" quotePrefix="1" applyFont="1" applyFill="1" applyAlignment="1">
      <alignment vertical="top" wrapText="1"/>
    </xf>
    <xf numFmtId="0" fontId="15" fillId="6" borderId="0" xfId="0" applyFont="1" applyFill="1" applyAlignment="1">
      <alignment vertical="top" wrapText="1"/>
    </xf>
    <xf numFmtId="0" fontId="15" fillId="6" borderId="0" xfId="0" quotePrefix="1" applyFont="1" applyFill="1" applyAlignment="1">
      <alignment vertical="top" wrapText="1"/>
    </xf>
    <xf numFmtId="0" fontId="2" fillId="14" borderId="0" xfId="0" applyFont="1" applyFill="1" applyAlignment="1">
      <alignment vertical="top" wrapText="1"/>
    </xf>
    <xf numFmtId="0" fontId="23" fillId="14" borderId="0" xfId="0" applyFont="1" applyFill="1" applyAlignment="1">
      <alignment vertical="top" wrapText="1"/>
    </xf>
    <xf numFmtId="0" fontId="12" fillId="8" borderId="0" xfId="0" applyFont="1" applyFill="1" applyAlignment="1">
      <alignment vertical="top" wrapText="1"/>
    </xf>
    <xf numFmtId="0" fontId="7" fillId="8" borderId="0" xfId="0" applyFont="1" applyFill="1" applyAlignment="1">
      <alignment vertical="top" wrapText="1"/>
    </xf>
    <xf numFmtId="0" fontId="15" fillId="8" borderId="0" xfId="0" quotePrefix="1" applyFont="1" applyFill="1" applyAlignment="1">
      <alignment vertical="top" wrapText="1"/>
    </xf>
    <xf numFmtId="0" fontId="15" fillId="7" borderId="0" xfId="0" applyFont="1" applyFill="1" applyAlignment="1">
      <alignment vertical="top" wrapText="1"/>
    </xf>
    <xf numFmtId="0" fontId="15" fillId="7" borderId="0" xfId="0" quotePrefix="1" applyFont="1" applyFill="1" applyAlignment="1">
      <alignment vertical="top" wrapText="1"/>
    </xf>
    <xf numFmtId="0" fontId="7" fillId="8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22" fillId="17" borderId="0" xfId="0" applyFont="1" applyFill="1"/>
    <xf numFmtId="0" fontId="2" fillId="16" borderId="0" xfId="0" applyFont="1" applyFill="1"/>
    <xf numFmtId="0" fontId="24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27" fillId="7" borderId="0" xfId="0" quotePrefix="1" applyFont="1" applyFill="1" applyAlignment="1">
      <alignment vertical="top" wrapText="1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9" fillId="15" borderId="0" xfId="1" applyFont="1" applyFill="1"/>
    <xf numFmtId="0" fontId="7" fillId="18" borderId="0" xfId="0" applyFont="1" applyFill="1"/>
    <xf numFmtId="0" fontId="7" fillId="18" borderId="0" xfId="0" applyFont="1" applyFill="1" applyAlignment="1">
      <alignment horizontal="center"/>
    </xf>
    <xf numFmtId="0" fontId="2" fillId="19" borderId="0" xfId="0" applyFont="1" applyFill="1" applyAlignment="1">
      <alignment horizontal="center" wrapText="1"/>
    </xf>
    <xf numFmtId="0" fontId="34" fillId="0" borderId="0" xfId="0" applyFont="1"/>
    <xf numFmtId="0" fontId="15" fillId="4" borderId="0" xfId="0" applyFont="1" applyFill="1"/>
    <xf numFmtId="0" fontId="15" fillId="4" borderId="0" xfId="0" quotePrefix="1" applyFont="1" applyFill="1"/>
    <xf numFmtId="0" fontId="35" fillId="0" borderId="0" xfId="0" applyFont="1"/>
    <xf numFmtId="16" fontId="7" fillId="0" borderId="0" xfId="0" applyNumberFormat="1" applyFont="1"/>
    <xf numFmtId="0" fontId="36" fillId="0" borderId="0" xfId="0" applyFont="1" applyAlignment="1">
      <alignment horizontal="center"/>
    </xf>
    <xf numFmtId="10" fontId="36" fillId="0" borderId="0" xfId="0" applyNumberFormat="1" applyFont="1" applyAlignment="1">
      <alignment horizontal="center"/>
    </xf>
    <xf numFmtId="10" fontId="7" fillId="0" borderId="0" xfId="0" applyNumberFormat="1" applyFont="1"/>
    <xf numFmtId="166" fontId="7" fillId="0" borderId="0" xfId="0" applyNumberFormat="1" applyFont="1"/>
    <xf numFmtId="164" fontId="7" fillId="0" borderId="0" xfId="0" applyNumberFormat="1" applyFont="1"/>
    <xf numFmtId="167" fontId="12" fillId="6" borderId="0" xfId="0" applyNumberFormat="1" applyFont="1" applyFill="1"/>
    <xf numFmtId="10" fontId="12" fillId="6" borderId="0" xfId="0" applyNumberFormat="1" applyFont="1" applyFill="1"/>
    <xf numFmtId="0" fontId="37" fillId="4" borderId="0" xfId="0" applyFont="1" applyFill="1"/>
    <xf numFmtId="10" fontId="16" fillId="6" borderId="0" xfId="0" applyNumberFormat="1" applyFont="1" applyFill="1"/>
    <xf numFmtId="0" fontId="38" fillId="0" borderId="0" xfId="0" applyFont="1"/>
    <xf numFmtId="0" fontId="9" fillId="18" borderId="0" xfId="1" applyFont="1" applyFill="1"/>
    <xf numFmtId="0" fontId="7" fillId="20" borderId="0" xfId="0" applyFont="1" applyFill="1"/>
    <xf numFmtId="0" fontId="7" fillId="20" borderId="0" xfId="0" applyFont="1" applyFill="1" applyAlignment="1">
      <alignment horizontal="center"/>
    </xf>
    <xf numFmtId="0" fontId="3" fillId="20" borderId="0" xfId="1" applyFont="1" applyFill="1"/>
    <xf numFmtId="0" fontId="39" fillId="0" borderId="0" xfId="0" applyFont="1"/>
    <xf numFmtId="0" fontId="2" fillId="21" borderId="0" xfId="0" applyFont="1" applyFill="1"/>
    <xf numFmtId="0" fontId="12" fillId="20" borderId="0" xfId="0" applyFont="1" applyFill="1"/>
    <xf numFmtId="0" fontId="22" fillId="22" borderId="0" xfId="0" applyFont="1" applyFill="1"/>
    <xf numFmtId="0" fontId="40" fillId="0" borderId="0" xfId="0" applyFont="1"/>
    <xf numFmtId="0" fontId="21" fillId="21" borderId="0" xfId="0" applyFont="1" applyFill="1"/>
    <xf numFmtId="0" fontId="41" fillId="0" borderId="0" xfId="0" applyFont="1"/>
    <xf numFmtId="0" fontId="2" fillId="21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12" fillId="6" borderId="0" xfId="0" applyNumberFormat="1" applyFont="1" applyFill="1" applyAlignment="1">
      <alignment horizontal="center"/>
    </xf>
    <xf numFmtId="0" fontId="2" fillId="21" borderId="0" xfId="0" applyFont="1" applyFill="1" applyAlignment="1">
      <alignment horizontal="center" wrapText="1"/>
    </xf>
    <xf numFmtId="2" fontId="12" fillId="0" borderId="0" xfId="0" applyNumberFormat="1" applyFont="1" applyAlignment="1">
      <alignment horizontal="center"/>
    </xf>
    <xf numFmtId="166" fontId="12" fillId="6" borderId="0" xfId="0" applyNumberFormat="1" applyFont="1" applyFill="1" applyAlignment="1">
      <alignment horizontal="center"/>
    </xf>
    <xf numFmtId="164" fontId="12" fillId="6" borderId="0" xfId="0" applyNumberFormat="1" applyFont="1" applyFill="1" applyAlignment="1">
      <alignment horizontal="center"/>
    </xf>
    <xf numFmtId="0" fontId="7" fillId="0" borderId="0" xfId="0" applyFont="1" applyAlignment="1">
      <alignment vertical="top"/>
    </xf>
    <xf numFmtId="0" fontId="2" fillId="2" borderId="0" xfId="0" applyFont="1" applyFill="1" applyAlignment="1">
      <alignment horizontal="center"/>
    </xf>
    <xf numFmtId="0" fontId="2" fillId="11" borderId="0" xfId="0" applyFont="1" applyFill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13" fillId="6" borderId="0" xfId="0" applyFont="1" applyFill="1" applyAlignment="1">
      <alignment horizontal="center" vertical="top" wrapText="1"/>
    </xf>
    <xf numFmtId="0" fontId="2" fillId="14" borderId="0" xfId="0" applyFont="1" applyFill="1" applyAlignment="1">
      <alignment horizontal="center" vertical="top" wrapText="1"/>
    </xf>
    <xf numFmtId="0" fontId="2" fillId="13" borderId="0" xfId="0" applyFont="1" applyFill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2" fillId="19" borderId="0" xfId="0" applyFont="1" applyFill="1" applyAlignment="1">
      <alignment horizontal="center" wrapText="1"/>
    </xf>
    <xf numFmtId="0" fontId="22" fillId="3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Three patterns of bivariate relationship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'1. Introduction'!$C$17</c:f>
              <c:strCache>
                <c:ptCount val="1"/>
                <c:pt idx="0">
                  <c:v>Y (Positive)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'1. Introduction'!$B$18:$B$25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'1. Introduction'!$C$18:$C$25</c:f>
              <c:numCache>
                <c:formatCode>General</c:formatCode>
                <c:ptCount val="8"/>
                <c:pt idx="0">
                  <c:v>2.1</c:v>
                </c:pt>
                <c:pt idx="1">
                  <c:v>3.9</c:v>
                </c:pt>
                <c:pt idx="2">
                  <c:v>6.2</c:v>
                </c:pt>
                <c:pt idx="3">
                  <c:v>8.1</c:v>
                </c:pt>
                <c:pt idx="4">
                  <c:v>9.8000000000000007</c:v>
                </c:pt>
                <c:pt idx="5">
                  <c:v>12.1</c:v>
                </c:pt>
                <c:pt idx="6">
                  <c:v>13.9</c:v>
                </c:pt>
                <c:pt idx="7">
                  <c:v>16.2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32-A947-AC05-4CFD87F1F439}"/>
            </c:ext>
          </c:extLst>
        </c:ser>
        <c:ser>
          <c:idx val="1"/>
          <c:order val="1"/>
          <c:tx>
            <c:strRef>
              <c:f>'1. Introduction'!$D$17</c:f>
              <c:strCache>
                <c:ptCount val="1"/>
                <c:pt idx="0">
                  <c:v>Y (Negative)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'1. Introduction'!$B$18:$B$25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'1. Introduction'!$D$18:$D$25</c:f>
              <c:numCache>
                <c:formatCode>General</c:formatCode>
                <c:ptCount val="8"/>
                <c:pt idx="0">
                  <c:v>9.8000000000000007</c:v>
                </c:pt>
                <c:pt idx="1">
                  <c:v>8.6999999999999993</c:v>
                </c:pt>
                <c:pt idx="2">
                  <c:v>7.1</c:v>
                </c:pt>
                <c:pt idx="3">
                  <c:v>5.9</c:v>
                </c:pt>
                <c:pt idx="4">
                  <c:v>4.8</c:v>
                </c:pt>
                <c:pt idx="5">
                  <c:v>3.4</c:v>
                </c:pt>
                <c:pt idx="6">
                  <c:v>2.1</c:v>
                </c:pt>
                <c:pt idx="7">
                  <c:v>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32-A947-AC05-4CFD87F1F439}"/>
            </c:ext>
          </c:extLst>
        </c:ser>
        <c:ser>
          <c:idx val="2"/>
          <c:order val="2"/>
          <c:tx>
            <c:strRef>
              <c:f>'1. Introduction'!$E$17</c:f>
              <c:strCache>
                <c:ptCount val="1"/>
                <c:pt idx="0">
                  <c:v>Y (None)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'1. Introduction'!$B$18:$B$25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'1. Introduction'!$E$18:$E$25</c:f>
              <c:numCache>
                <c:formatCode>General</c:formatCode>
                <c:ptCount val="8"/>
                <c:pt idx="0">
                  <c:v>5.2</c:v>
                </c:pt>
                <c:pt idx="1">
                  <c:v>6.1</c:v>
                </c:pt>
                <c:pt idx="2">
                  <c:v>4.4000000000000004</c:v>
                </c:pt>
                <c:pt idx="3">
                  <c:v>7.3</c:v>
                </c:pt>
                <c:pt idx="4">
                  <c:v>3.9</c:v>
                </c:pt>
                <c:pt idx="5">
                  <c:v>6.8</c:v>
                </c:pt>
                <c:pt idx="6">
                  <c:v>5.5</c:v>
                </c:pt>
                <c:pt idx="7">
                  <c:v>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F32-A947-AC05-4CFD87F1F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9605312"/>
        <c:axId val="1638978576"/>
      </c:scatterChart>
      <c:valAx>
        <c:axId val="1639605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8978576"/>
        <c:crosses val="autoZero"/>
        <c:crossBetween val="midCat"/>
      </c:valAx>
      <c:valAx>
        <c:axId val="163897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96053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 spend vs Sales (positive covariance)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'2. Covariance'!$D$17</c:f>
              <c:strCache>
                <c:ptCount val="1"/>
                <c:pt idx="0">
                  <c:v>Y (Sales)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trendline>
            <c:spPr>
              <a:ln w="28575" cap="rnd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trendlineType val="linear"/>
            <c:intercept val="0"/>
            <c:dispRSqr val="1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2000" b="1" baseline="0">
                        <a:solidFill>
                          <a:srgbClr val="FF0000"/>
                        </a:solidFill>
                      </a:rPr>
                      <a:t>y = 4.0109x</a:t>
                    </a:r>
                    <a:br>
                      <a:rPr lang="en-US" sz="2000" b="1" baseline="0">
                        <a:solidFill>
                          <a:srgbClr val="FF0000"/>
                        </a:solidFill>
                      </a:rPr>
                    </a:br>
                    <a:r>
                      <a:rPr lang="en-US" sz="2000" b="1" baseline="0">
                        <a:solidFill>
                          <a:srgbClr val="FF0000"/>
                        </a:solidFill>
                      </a:rPr>
                      <a:t>R² = 0.9878</a:t>
                    </a:r>
                    <a:endParaRPr lang="en-US" sz="2000" b="1">
                      <a:solidFill>
                        <a:srgbClr val="FF0000"/>
                      </a:solidFill>
                    </a:endParaRPr>
                  </a:p>
                </c:rich>
              </c:tx>
              <c:numFmt formatCode="General" sourceLinked="0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'2. Covariance'!$C$18:$C$25</c:f>
              <c:numCache>
                <c:formatCode>General</c:formatCode>
                <c:ptCount val="8"/>
                <c:pt idx="0">
                  <c:v>2</c:v>
                </c:pt>
                <c:pt idx="1">
                  <c:v>4</c:v>
                </c:pt>
                <c:pt idx="2">
                  <c:v>5</c:v>
                </c:pt>
                <c:pt idx="3">
                  <c:v>7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13</c:v>
                </c:pt>
              </c:numCache>
            </c:numRef>
          </c:xVal>
          <c:yVal>
            <c:numRef>
              <c:f>'2. Covariance'!$D$18:$D$25</c:f>
              <c:numCache>
                <c:formatCode>General</c:formatCode>
                <c:ptCount val="8"/>
                <c:pt idx="0">
                  <c:v>15</c:v>
                </c:pt>
                <c:pt idx="1">
                  <c:v>20</c:v>
                </c:pt>
                <c:pt idx="2">
                  <c:v>24</c:v>
                </c:pt>
                <c:pt idx="3">
                  <c:v>30</c:v>
                </c:pt>
                <c:pt idx="4">
                  <c:v>34</c:v>
                </c:pt>
                <c:pt idx="5">
                  <c:v>40</c:v>
                </c:pt>
                <c:pt idx="6">
                  <c:v>42</c:v>
                </c:pt>
                <c:pt idx="7">
                  <c:v>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9C-EB41-9A2D-F590BCFD6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285280"/>
        <c:axId val="1163405136"/>
      </c:scatterChart>
      <c:valAx>
        <c:axId val="116328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Ad spend ($000)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405136"/>
        <c:crosses val="autoZero"/>
        <c:crossBetween val="midCat"/>
      </c:valAx>
      <c:valAx>
        <c:axId val="116340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Sales ($000)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3285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Hours vs Exam Score (r ≈ 0.997)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'3. Correlation'!$D$21</c:f>
              <c:strCache>
                <c:ptCount val="1"/>
                <c:pt idx="0">
                  <c:v>Y (score)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'3. Correlation'!$C$22:$C$31</c:f>
              <c:numCache>
                <c:formatCode>General</c:formatCode>
                <c:ptCount val="10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numCache>
            </c:numRef>
          </c:xVal>
          <c:yVal>
            <c:numRef>
              <c:f>'3. Correlation'!$D$22:$D$31</c:f>
              <c:numCache>
                <c:formatCode>General</c:formatCode>
                <c:ptCount val="10"/>
                <c:pt idx="0">
                  <c:v>55</c:v>
                </c:pt>
                <c:pt idx="1">
                  <c:v>60</c:v>
                </c:pt>
                <c:pt idx="2">
                  <c:v>65</c:v>
                </c:pt>
                <c:pt idx="3">
                  <c:v>70</c:v>
                </c:pt>
                <c:pt idx="4">
                  <c:v>75</c:v>
                </c:pt>
                <c:pt idx="5">
                  <c:v>78</c:v>
                </c:pt>
                <c:pt idx="6">
                  <c:v>85</c:v>
                </c:pt>
                <c:pt idx="7">
                  <c:v>88</c:v>
                </c:pt>
                <c:pt idx="8">
                  <c:v>92</c:v>
                </c:pt>
                <c:pt idx="9">
                  <c:v>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F5-C040-BE3A-4E6210CB6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923503"/>
        <c:axId val="482527423"/>
      </c:scatterChart>
      <c:valAx>
        <c:axId val="4829235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Hours studied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527423"/>
        <c:crosses val="autoZero"/>
        <c:crossBetween val="midCat"/>
      </c:valAx>
      <c:valAx>
        <c:axId val="482527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Exam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9235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Temperature vs Sales with OLS line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'4. Regression'!$D$15</c:f>
              <c:strCache>
                <c:ptCount val="1"/>
                <c:pt idx="0">
                  <c:v>Y (Sales $)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trendline>
            <c:spPr>
              <a:ln w="28575" cap="rnd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253287569823002"/>
                  <c:y val="1.9115110611173602E-2"/>
                </c:manualLayout>
              </c:layout>
              <c:numFmt formatCode="General" sourceLinked="0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'4. Regression'!$C$16:$C$25</c:f>
              <c:numCache>
                <c:formatCode>General</c:formatCode>
                <c:ptCount val="10"/>
                <c:pt idx="0">
                  <c:v>14</c:v>
                </c:pt>
                <c:pt idx="1">
                  <c:v>16</c:v>
                </c:pt>
                <c:pt idx="2">
                  <c:v>19</c:v>
                </c:pt>
                <c:pt idx="3">
                  <c:v>22</c:v>
                </c:pt>
                <c:pt idx="4">
                  <c:v>25</c:v>
                </c:pt>
                <c:pt idx="5">
                  <c:v>28</c:v>
                </c:pt>
                <c:pt idx="6">
                  <c:v>30</c:v>
                </c:pt>
                <c:pt idx="7">
                  <c:v>33</c:v>
                </c:pt>
                <c:pt idx="8">
                  <c:v>35</c:v>
                </c:pt>
                <c:pt idx="9">
                  <c:v>38</c:v>
                </c:pt>
              </c:numCache>
            </c:numRef>
          </c:xVal>
          <c:yVal>
            <c:numRef>
              <c:f>'4. Regression'!$D$16:$D$25</c:f>
              <c:numCache>
                <c:formatCode>General</c:formatCode>
                <c:ptCount val="10"/>
                <c:pt idx="0">
                  <c:v>215</c:v>
                </c:pt>
                <c:pt idx="1">
                  <c:v>250</c:v>
                </c:pt>
                <c:pt idx="2">
                  <c:v>305</c:v>
                </c:pt>
                <c:pt idx="3">
                  <c:v>360</c:v>
                </c:pt>
                <c:pt idx="4">
                  <c:v>410</c:v>
                </c:pt>
                <c:pt idx="5">
                  <c:v>470</c:v>
                </c:pt>
                <c:pt idx="6">
                  <c:v>500</c:v>
                </c:pt>
                <c:pt idx="7">
                  <c:v>560</c:v>
                </c:pt>
                <c:pt idx="8">
                  <c:v>590</c:v>
                </c:pt>
                <c:pt idx="9">
                  <c:v>640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2A-7F4A-8354-83B412702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9089552"/>
        <c:axId val="1639892528"/>
      </c:scatterChart>
      <c:valAx>
        <c:axId val="1639089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9892528"/>
        <c:crosses val="autoZero"/>
        <c:crossBetween val="midCat"/>
      </c:valAx>
      <c:valAx>
        <c:axId val="163989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9089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Residuals vs Temperature (should look random)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'4. Regression'!$S$15</c:f>
              <c:strCache>
                <c:ptCount val="1"/>
                <c:pt idx="0">
                  <c:v>Residual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'4. Regression'!$R$16:$R$25</c:f>
            </c:numRef>
          </c:xVal>
          <c:yVal>
            <c:numRef>
              <c:f>'4. Regression'!$S$16:$S$25</c:f>
            </c:numRef>
          </c:yVal>
          <c:smooth val="0"/>
          <c:extLst>
            <c:ext xmlns:c16="http://schemas.microsoft.com/office/drawing/2014/chart" uri="{C3380CC4-5D6E-409C-BE32-E72D297353CC}">
              <c16:uniqueId val="{00000000-38B2-4C44-8000-F6A6D7E45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0082208"/>
        <c:axId val="483294047"/>
      </c:scatterChart>
      <c:valAx>
        <c:axId val="1830082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3294047"/>
        <c:crosses val="autoZero"/>
        <c:crossBetween val="midCat"/>
      </c:valAx>
      <c:valAx>
        <c:axId val="483294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Residual (Y − Ŷ)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0082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Security Characteristic Line: XYZ vs Market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'7. Stock Beta'!$F$21:$F$22</c:f>
              <c:strCache>
                <c:ptCount val="2"/>
                <c:pt idx="0">
                  <c:v>Rstock (%)</c:v>
                </c:pt>
                <c:pt idx="1">
                  <c:v>—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trendline>
            <c:spPr>
              <a:ln w="28575" cap="rnd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trendlineType val="linear"/>
            <c:dispRSqr val="1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2200" b="1" baseline="0">
                        <a:solidFill>
                          <a:srgbClr val="FF0000"/>
                        </a:solidFill>
                      </a:rPr>
                      <a:t>y = 2.6845x - 0.0024</a:t>
                    </a:r>
                    <a:br>
                      <a:rPr lang="en-US" sz="2200" b="1" baseline="0">
                        <a:solidFill>
                          <a:srgbClr val="FF0000"/>
                        </a:solidFill>
                      </a:rPr>
                    </a:br>
                    <a:r>
                      <a:rPr lang="en-US" sz="2200" b="1" baseline="0">
                        <a:solidFill>
                          <a:srgbClr val="FF0000"/>
                        </a:solidFill>
                      </a:rPr>
                      <a:t>R² = 0.9826</a:t>
                    </a:r>
                    <a:endParaRPr lang="en-US" sz="2200" b="1">
                      <a:solidFill>
                        <a:srgbClr val="FF0000"/>
                      </a:solidFill>
                    </a:endParaRPr>
                  </a:p>
                </c:rich>
              </c:tx>
              <c:numFmt formatCode="General" sourceLinked="0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'7. Stock Beta'!$E$23:$E$45</c:f>
              <c:numCache>
                <c:formatCode>0.00%</c:formatCode>
                <c:ptCount val="23"/>
                <c:pt idx="0">
                  <c:v>0.02</c:v>
                </c:pt>
                <c:pt idx="1">
                  <c:v>-1.4705882352941176E-2</c:v>
                </c:pt>
                <c:pt idx="2">
                  <c:v>3.2338308457711441E-2</c:v>
                </c:pt>
                <c:pt idx="3">
                  <c:v>1.6867469879518072E-2</c:v>
                </c:pt>
                <c:pt idx="4">
                  <c:v>-9.4786729857819912E-3</c:v>
                </c:pt>
                <c:pt idx="5">
                  <c:v>3.1100478468899521E-2</c:v>
                </c:pt>
                <c:pt idx="6">
                  <c:v>-1.3921113689095127E-2</c:v>
                </c:pt>
                <c:pt idx="7">
                  <c:v>-1.6470588235294119E-2</c:v>
                </c:pt>
                <c:pt idx="8">
                  <c:v>-2.1531100478468901E-2</c:v>
                </c:pt>
                <c:pt idx="9">
                  <c:v>4.6454767726161368E-2</c:v>
                </c:pt>
                <c:pt idx="10">
                  <c:v>2.8037383177570093E-2</c:v>
                </c:pt>
                <c:pt idx="11">
                  <c:v>1.8181818181818181E-2</c:v>
                </c:pt>
                <c:pt idx="12">
                  <c:v>8.9285714285714281E-3</c:v>
                </c:pt>
                <c:pt idx="13">
                  <c:v>1.7699115044247787E-2</c:v>
                </c:pt>
                <c:pt idx="14">
                  <c:v>-1.3043478260869565E-2</c:v>
                </c:pt>
                <c:pt idx="15">
                  <c:v>2.643171806167401E-2</c:v>
                </c:pt>
                <c:pt idx="16">
                  <c:v>1.2875536480686695E-2</c:v>
                </c:pt>
                <c:pt idx="17">
                  <c:v>1.6949152542372881E-2</c:v>
                </c:pt>
                <c:pt idx="18">
                  <c:v>-2.2916666666666665E-2</c:v>
                </c:pt>
                <c:pt idx="19">
                  <c:v>2.7718550106609809E-2</c:v>
                </c:pt>
                <c:pt idx="20">
                  <c:v>1.6597510373443983E-2</c:v>
                </c:pt>
                <c:pt idx="21">
                  <c:v>1.4285714285714285E-2</c:v>
                </c:pt>
                <c:pt idx="22">
                  <c:v>1.6096579476861168E-2</c:v>
                </c:pt>
              </c:numCache>
            </c:numRef>
          </c:xVal>
          <c:yVal>
            <c:numRef>
              <c:f>'7. Stock Beta'!$F$23:$F$45</c:f>
              <c:numCache>
                <c:formatCode>0.00%</c:formatCode>
                <c:ptCount val="23"/>
                <c:pt idx="0">
                  <c:v>0.03</c:v>
                </c:pt>
                <c:pt idx="1">
                  <c:v>-3.8834951456310676E-2</c:v>
                </c:pt>
                <c:pt idx="2">
                  <c:v>9.0909090909090912E-2</c:v>
                </c:pt>
                <c:pt idx="3">
                  <c:v>5.5555555555555552E-2</c:v>
                </c:pt>
                <c:pt idx="4">
                  <c:v>-3.5087719298245612E-2</c:v>
                </c:pt>
                <c:pt idx="5">
                  <c:v>8.1818181818181818E-2</c:v>
                </c:pt>
                <c:pt idx="6">
                  <c:v>-4.2016806722689079E-2</c:v>
                </c:pt>
                <c:pt idx="7">
                  <c:v>-4.3859649122807015E-2</c:v>
                </c:pt>
                <c:pt idx="8">
                  <c:v>-5.5045871559633031E-2</c:v>
                </c:pt>
                <c:pt idx="9">
                  <c:v>0.11650485436893204</c:v>
                </c:pt>
                <c:pt idx="10">
                  <c:v>6.9565217391304349E-2</c:v>
                </c:pt>
                <c:pt idx="11">
                  <c:v>4.065040650406504E-2</c:v>
                </c:pt>
                <c:pt idx="12">
                  <c:v>2.34375E-2</c:v>
                </c:pt>
                <c:pt idx="13">
                  <c:v>4.5801526717557252E-2</c:v>
                </c:pt>
                <c:pt idx="14">
                  <c:v>-4.3795620437956206E-2</c:v>
                </c:pt>
                <c:pt idx="15">
                  <c:v>6.8702290076335881E-2</c:v>
                </c:pt>
                <c:pt idx="16">
                  <c:v>3.5714285714285712E-2</c:v>
                </c:pt>
                <c:pt idx="17">
                  <c:v>4.8275862068965517E-2</c:v>
                </c:pt>
                <c:pt idx="18">
                  <c:v>-6.5789473684210523E-2</c:v>
                </c:pt>
                <c:pt idx="19">
                  <c:v>7.746478873239436E-2</c:v>
                </c:pt>
                <c:pt idx="20">
                  <c:v>5.2287581699346407E-2</c:v>
                </c:pt>
                <c:pt idx="21">
                  <c:v>3.7267080745341616E-2</c:v>
                </c:pt>
                <c:pt idx="22">
                  <c:v>3.5928143712574849E-2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79-3243-B8B4-CCBB10B9D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6349808"/>
        <c:axId val="1766777184"/>
      </c:scatterChart>
      <c:valAx>
        <c:axId val="1516349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Market monthly return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777184"/>
        <c:crosses val="autoZero"/>
        <c:crossBetween val="midCat"/>
      </c:valAx>
      <c:valAx>
        <c:axId val="1766777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XYZ monthly return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3498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Illustration A: Product preference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 Categorical Bivariate'!$B$18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'8. Categorical Bivariate'!$C$17:$E$17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'8. Categorical Bivariate'!$C$18:$E$18</c:f>
              <c:numCache>
                <c:formatCode>General</c:formatCode>
                <c:ptCount val="3"/>
                <c:pt idx="0">
                  <c:v>45</c:v>
                </c:pt>
                <c:pt idx="1">
                  <c:v>25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BB-4547-BCD0-C5272001A2CB}"/>
            </c:ext>
          </c:extLst>
        </c:ser>
        <c:ser>
          <c:idx val="1"/>
          <c:order val="1"/>
          <c:tx>
            <c:strRef>
              <c:f>'8. Categorical Bivariate'!$B$19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'8. Categorical Bivariate'!$C$17:$E$17</c:f>
              <c:strCache>
                <c:ptCount val="3"/>
                <c:pt idx="0">
                  <c:v>Product A</c:v>
                </c:pt>
                <c:pt idx="1">
                  <c:v>Product B</c:v>
                </c:pt>
                <c:pt idx="2">
                  <c:v>Product C</c:v>
                </c:pt>
              </c:strCache>
            </c:strRef>
          </c:cat>
          <c:val>
            <c:numRef>
              <c:f>'8. Categorical Bivariate'!$C$19:$E$19</c:f>
              <c:numCache>
                <c:formatCode>General</c:formatCode>
                <c:ptCount val="3"/>
                <c:pt idx="0">
                  <c:v>30</c:v>
                </c:pt>
                <c:pt idx="1">
                  <c:v>50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BB-4547-BCD0-C5272001A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488623"/>
        <c:axId val="518980015"/>
      </c:barChart>
      <c:catAx>
        <c:axId val="518488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980015"/>
        <c:crosses val="autoZero"/>
        <c:auto val="1"/>
        <c:lblAlgn val="ctr"/>
        <c:lblOffset val="100"/>
        <c:noMultiLvlLbl val="0"/>
      </c:catAx>
      <c:valAx>
        <c:axId val="518980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48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Illustration B: Mean salary by Department ($000)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 Categorical Bivariate'!$B$62</c:f>
              <c:strCache>
                <c:ptCount val="1"/>
                <c:pt idx="0">
                  <c:v>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'8. Categorical Bivariate'!$C$61:$E$61</c:f>
              <c:strCache>
                <c:ptCount val="3"/>
                <c:pt idx="0">
                  <c:v>Engineering</c:v>
                </c:pt>
                <c:pt idx="1">
                  <c:v>Sales</c:v>
                </c:pt>
                <c:pt idx="2">
                  <c:v>HR</c:v>
                </c:pt>
              </c:strCache>
            </c:strRef>
          </c:cat>
          <c:val>
            <c:numRef>
              <c:f>'8. Categorical Bivariate'!$C$62:$E$62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F-0841-8409-9BED47414E78}"/>
            </c:ext>
          </c:extLst>
        </c:ser>
        <c:ser>
          <c:idx val="1"/>
          <c:order val="1"/>
          <c:tx>
            <c:strRef>
              <c:f>'8. Categorical Bivariate'!$B$63</c:f>
              <c:strCache>
                <c:ptCount val="1"/>
                <c:pt idx="0">
                  <c:v>Mean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'8. Categorical Bivariate'!$C$61:$E$61</c:f>
              <c:strCache>
                <c:ptCount val="3"/>
                <c:pt idx="0">
                  <c:v>Engineering</c:v>
                </c:pt>
                <c:pt idx="1">
                  <c:v>Sales</c:v>
                </c:pt>
                <c:pt idx="2">
                  <c:v>HR</c:v>
                </c:pt>
              </c:strCache>
            </c:strRef>
          </c:cat>
          <c:val>
            <c:numRef>
              <c:f>'8. Categorical Bivariate'!$C$63:$E$63</c:f>
              <c:numCache>
                <c:formatCode>0.00</c:formatCode>
                <c:ptCount val="3"/>
                <c:pt idx="0">
                  <c:v>104.42857142857143</c:v>
                </c:pt>
                <c:pt idx="1">
                  <c:v>77.428571428571431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4F-0841-8409-9BED47414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204527"/>
        <c:axId val="518142527"/>
      </c:barChart>
      <c:catAx>
        <c:axId val="518204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142527"/>
        <c:crosses val="autoZero"/>
        <c:auto val="1"/>
        <c:lblAlgn val="ctr"/>
        <c:lblOffset val="100"/>
        <c:noMultiLvlLbl val="0"/>
      </c:catAx>
      <c:valAx>
        <c:axId val="518142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Salary ($000)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204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86CDD0-DC64-14C8-CECB-A5690047F6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660400</xdr:colOff>
      <xdr:row>7</xdr:row>
      <xdr:rowOff>114300</xdr:rowOff>
    </xdr:from>
    <xdr:to>
      <xdr:col>18</xdr:col>
      <xdr:colOff>431800</xdr:colOff>
      <xdr:row>21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6965DA-966F-5A78-4D82-F191EE474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20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4F2DEE-D89F-F452-9659-B2D7223D52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17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206E01-7462-20C0-471C-7FD5A0E5A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23</xdr:row>
      <xdr:rowOff>0</xdr:rowOff>
    </xdr:from>
    <xdr:to>
      <xdr:col>17</xdr:col>
      <xdr:colOff>0</xdr:colOff>
      <xdr:row>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B265C4-EFC7-229D-95D8-CC15FF4C90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701174-90CA-A363-9988-CAE9B4AAA8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</xdr:row>
      <xdr:rowOff>0</xdr:rowOff>
    </xdr:from>
    <xdr:to>
      <xdr:col>16</xdr:col>
      <xdr:colOff>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71928C-16E0-C7DA-37A5-9D596494E6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16</xdr:col>
      <xdr:colOff>0</xdr:colOff>
      <xdr:row>64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862826-EE54-6E74-761C-A6D2BF1CE8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5F5FB4-90E7-E946-83F9-4A1A1417945D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e2007a4b-5547-45b0-b7ac-327318e52329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386C-1055-7A46-A047-7C839876F056}">
  <sheetPr>
    <tabColor rgb="FF1F4E78"/>
  </sheetPr>
  <dimension ref="B2:D20"/>
  <sheetViews>
    <sheetView workbookViewId="0">
      <selection activeCell="D8" sqref="D8"/>
    </sheetView>
  </sheetViews>
  <sheetFormatPr baseColWidth="10" defaultRowHeight="29" x14ac:dyDescent="0.35"/>
  <cols>
    <col min="1" max="1" width="3.33203125" style="6" customWidth="1"/>
    <col min="2" max="2" width="8.33203125" style="6" customWidth="1"/>
    <col min="3" max="3" width="36.6640625" style="6" customWidth="1"/>
    <col min="4" max="4" width="100.1640625" style="6" customWidth="1"/>
    <col min="5" max="16384" width="10.83203125" style="6"/>
  </cols>
  <sheetData>
    <row r="2" spans="2:4" ht="36" customHeight="1" x14ac:dyDescent="0.35">
      <c r="B2" s="138" t="s">
        <v>0</v>
      </c>
      <c r="C2" s="138"/>
      <c r="D2" s="138"/>
    </row>
    <row r="3" spans="2:4" ht="22" customHeight="1" x14ac:dyDescent="0.35">
      <c r="B3" s="138"/>
      <c r="C3" s="138"/>
      <c r="D3" s="138"/>
    </row>
    <row r="5" spans="2:4" x14ac:dyDescent="0.35">
      <c r="B5" s="7" t="s">
        <v>1</v>
      </c>
    </row>
    <row r="7" spans="2:4" x14ac:dyDescent="0.35">
      <c r="B7" s="2" t="s">
        <v>2</v>
      </c>
      <c r="C7" s="1" t="s">
        <v>3</v>
      </c>
      <c r="D7" s="1" t="s">
        <v>4</v>
      </c>
    </row>
    <row r="8" spans="2:4" x14ac:dyDescent="0.35">
      <c r="B8" s="8">
        <v>1</v>
      </c>
      <c r="C8" s="9" t="str">
        <f>HYPERLINK("#'1. Introduction'!A1","1. Introduction")</f>
        <v>1. Introduction</v>
      </c>
      <c r="D8" s="10" t="s">
        <v>5</v>
      </c>
    </row>
    <row r="9" spans="2:4" x14ac:dyDescent="0.35">
      <c r="B9" s="11">
        <v>2</v>
      </c>
      <c r="C9" s="12" t="str">
        <f>HYPERLINK("#'2. Covariance'!A1","2. Covariance")</f>
        <v>2. Covariance</v>
      </c>
      <c r="D9" s="13" t="s">
        <v>6</v>
      </c>
    </row>
    <row r="10" spans="2:4" x14ac:dyDescent="0.35">
      <c r="B10" s="14">
        <v>3</v>
      </c>
      <c r="C10" s="15" t="str">
        <f>HYPERLINK("#'3. Correlation'!A1","3. Correlation")</f>
        <v>3. Correlation</v>
      </c>
      <c r="D10" s="16" t="s">
        <v>7</v>
      </c>
    </row>
    <row r="11" spans="2:4" x14ac:dyDescent="0.35">
      <c r="B11" s="17">
        <v>4</v>
      </c>
      <c r="C11" s="18" t="str">
        <f>HYPERLINK("#'4. Regression'!A1","4. Regression")</f>
        <v>4. Regression</v>
      </c>
      <c r="D11" s="19" t="s">
        <v>8</v>
      </c>
    </row>
    <row r="12" spans="2:4" x14ac:dyDescent="0.35">
      <c r="B12" s="20">
        <v>5</v>
      </c>
      <c r="C12" s="21" t="str">
        <f>HYPERLINK("#'5. Comparison &amp; Pitfalls'!A1","5. Comparison &amp; Pitfalls")</f>
        <v>5. Comparison &amp; Pitfalls</v>
      </c>
      <c r="D12" s="22" t="s">
        <v>9</v>
      </c>
    </row>
    <row r="13" spans="2:4" x14ac:dyDescent="0.35">
      <c r="B13" s="71">
        <v>6</v>
      </c>
      <c r="C13" s="96" t="str">
        <f>HYPERLINK("#'6. Notes'!A1","6. Notes (Summary)")</f>
        <v>6. Notes (Summary)</v>
      </c>
      <c r="D13" s="70" t="s">
        <v>253</v>
      </c>
    </row>
    <row r="14" spans="2:4" x14ac:dyDescent="0.35">
      <c r="B14" s="7" t="s">
        <v>10</v>
      </c>
    </row>
    <row r="15" spans="2:4" x14ac:dyDescent="0.35">
      <c r="B15" s="6" t="s">
        <v>11</v>
      </c>
    </row>
    <row r="16" spans="2:4" x14ac:dyDescent="0.35">
      <c r="B16" s="6" t="s">
        <v>12</v>
      </c>
    </row>
    <row r="17" spans="2:4" x14ac:dyDescent="0.35">
      <c r="B17" s="6" t="s">
        <v>13</v>
      </c>
    </row>
    <row r="18" spans="2:4" x14ac:dyDescent="0.35">
      <c r="B18" s="6" t="s">
        <v>14</v>
      </c>
    </row>
    <row r="19" spans="2:4" x14ac:dyDescent="0.35">
      <c r="B19" s="98">
        <v>7</v>
      </c>
      <c r="C19" s="115" t="str">
        <f>HYPERLINK("#'7. Stock Beta'!A1","7. Stock Beta (Application)")</f>
        <v>7. Stock Beta (Application)</v>
      </c>
      <c r="D19" s="97" t="s">
        <v>368</v>
      </c>
    </row>
    <row r="20" spans="2:4" x14ac:dyDescent="0.35">
      <c r="B20" s="117">
        <v>8</v>
      </c>
      <c r="C20" s="118" t="str">
        <f>HYPERLINK("#'8. Categorical Bivariate'!A1","8. Categorical Bivariate")</f>
        <v>8. Categorical Bivariate</v>
      </c>
      <c r="D20" s="116" t="s">
        <v>429</v>
      </c>
    </row>
  </sheetData>
  <mergeCells count="1">
    <mergeCell ref="B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86DA-BC4A-1A45-A1D3-6B653D5478F1}">
  <sheetPr>
    <tabColor rgb="FF2E75B6"/>
  </sheetPr>
  <dimension ref="A1:E34"/>
  <sheetViews>
    <sheetView workbookViewId="0">
      <selection activeCell="C20" sqref="C20"/>
    </sheetView>
  </sheetViews>
  <sheetFormatPr baseColWidth="10" defaultRowHeight="29" x14ac:dyDescent="0.35"/>
  <cols>
    <col min="1" max="1" width="3" style="6" customWidth="1"/>
    <col min="2" max="2" width="51.33203125" style="6" customWidth="1"/>
    <col min="3" max="6" width="21.6640625" style="6" customWidth="1"/>
    <col min="7" max="16384" width="10.83203125" style="6"/>
  </cols>
  <sheetData>
    <row r="1" spans="1:4" x14ac:dyDescent="0.35">
      <c r="A1" s="23" t="str">
        <f>HYPERLINK("#TOC!B5","← Back to TOC")</f>
        <v>← Back to TOC</v>
      </c>
    </row>
    <row r="2" spans="1:4" x14ac:dyDescent="0.35">
      <c r="B2" s="24" t="s">
        <v>15</v>
      </c>
    </row>
    <row r="4" spans="1:4" x14ac:dyDescent="0.35">
      <c r="B4" s="25" t="s">
        <v>16</v>
      </c>
    </row>
    <row r="5" spans="1:4" x14ac:dyDescent="0.35">
      <c r="B5" s="6" t="s">
        <v>17</v>
      </c>
    </row>
    <row r="6" spans="1:4" x14ac:dyDescent="0.35">
      <c r="B6" s="26" t="s">
        <v>18</v>
      </c>
    </row>
    <row r="8" spans="1:4" x14ac:dyDescent="0.35">
      <c r="B8" s="25" t="s">
        <v>19</v>
      </c>
    </row>
    <row r="9" spans="1:4" x14ac:dyDescent="0.35">
      <c r="B9" s="24" t="s">
        <v>20</v>
      </c>
      <c r="C9" s="24" t="s">
        <v>21</v>
      </c>
      <c r="D9" s="24" t="s">
        <v>22</v>
      </c>
    </row>
    <row r="10" spans="1:4" x14ac:dyDescent="0.35">
      <c r="B10" s="27" t="s">
        <v>23</v>
      </c>
      <c r="C10" s="10" t="s">
        <v>24</v>
      </c>
      <c r="D10" s="10" t="s">
        <v>25</v>
      </c>
    </row>
    <row r="11" spans="1:4" x14ac:dyDescent="0.35">
      <c r="B11" s="27" t="s">
        <v>26</v>
      </c>
      <c r="C11" s="10" t="s">
        <v>27</v>
      </c>
      <c r="D11" s="10" t="s">
        <v>28</v>
      </c>
    </row>
    <row r="12" spans="1:4" x14ac:dyDescent="0.35">
      <c r="B12" s="27" t="s">
        <v>29</v>
      </c>
      <c r="C12" s="10" t="s">
        <v>30</v>
      </c>
      <c r="D12" s="10" t="s">
        <v>31</v>
      </c>
    </row>
    <row r="14" spans="1:4" x14ac:dyDescent="0.35">
      <c r="B14" s="28" t="s">
        <v>32</v>
      </c>
    </row>
    <row r="15" spans="1:4" x14ac:dyDescent="0.35">
      <c r="B15" s="27" t="s">
        <v>33</v>
      </c>
    </row>
    <row r="17" spans="2:5" x14ac:dyDescent="0.35">
      <c r="B17" s="29" t="s">
        <v>34</v>
      </c>
      <c r="C17" s="29" t="s">
        <v>35</v>
      </c>
      <c r="D17" s="29" t="s">
        <v>36</v>
      </c>
      <c r="E17" s="29" t="s">
        <v>37</v>
      </c>
    </row>
    <row r="18" spans="2:5" x14ac:dyDescent="0.35">
      <c r="B18" s="6">
        <v>1</v>
      </c>
      <c r="C18" s="93">
        <v>2.1</v>
      </c>
      <c r="D18" s="94">
        <v>9.8000000000000007</v>
      </c>
      <c r="E18" s="95">
        <v>5.2</v>
      </c>
    </row>
    <row r="19" spans="2:5" x14ac:dyDescent="0.35">
      <c r="B19" s="6">
        <v>2</v>
      </c>
      <c r="C19" s="93">
        <v>3.9</v>
      </c>
      <c r="D19" s="94">
        <v>8.6999999999999993</v>
      </c>
      <c r="E19" s="95">
        <v>6.1</v>
      </c>
    </row>
    <row r="20" spans="2:5" x14ac:dyDescent="0.35">
      <c r="B20" s="6">
        <v>3</v>
      </c>
      <c r="C20" s="93">
        <v>6.2</v>
      </c>
      <c r="D20" s="94">
        <v>7.1</v>
      </c>
      <c r="E20" s="95">
        <v>4.4000000000000004</v>
      </c>
    </row>
    <row r="21" spans="2:5" x14ac:dyDescent="0.35">
      <c r="B21" s="6">
        <v>4</v>
      </c>
      <c r="C21" s="93">
        <v>8.1</v>
      </c>
      <c r="D21" s="94">
        <v>5.9</v>
      </c>
      <c r="E21" s="95">
        <v>7.3</v>
      </c>
    </row>
    <row r="22" spans="2:5" x14ac:dyDescent="0.35">
      <c r="B22" s="6">
        <v>5</v>
      </c>
      <c r="C22" s="93">
        <v>9.8000000000000007</v>
      </c>
      <c r="D22" s="94">
        <v>4.8</v>
      </c>
      <c r="E22" s="95">
        <v>3.9</v>
      </c>
    </row>
    <row r="23" spans="2:5" x14ac:dyDescent="0.35">
      <c r="B23" s="6">
        <v>6</v>
      </c>
      <c r="C23" s="93">
        <v>12.1</v>
      </c>
      <c r="D23" s="94">
        <v>3.4</v>
      </c>
      <c r="E23" s="95">
        <v>6.8</v>
      </c>
    </row>
    <row r="24" spans="2:5" x14ac:dyDescent="0.35">
      <c r="B24" s="6">
        <v>7</v>
      </c>
      <c r="C24" s="93">
        <v>13.9</v>
      </c>
      <c r="D24" s="94">
        <v>2.1</v>
      </c>
      <c r="E24" s="95">
        <v>5.5</v>
      </c>
    </row>
    <row r="25" spans="2:5" x14ac:dyDescent="0.35">
      <c r="B25" s="6">
        <v>8</v>
      </c>
      <c r="C25" s="93">
        <v>16.2</v>
      </c>
      <c r="D25" s="94">
        <v>1.2</v>
      </c>
      <c r="E25" s="95">
        <v>4.7</v>
      </c>
    </row>
    <row r="27" spans="2:5" x14ac:dyDescent="0.35">
      <c r="B27" s="25" t="s">
        <v>38</v>
      </c>
    </row>
    <row r="28" spans="2:5" x14ac:dyDescent="0.35">
      <c r="B28" s="30" t="s">
        <v>39</v>
      </c>
      <c r="C28" s="6" t="s">
        <v>40</v>
      </c>
    </row>
    <row r="29" spans="2:5" x14ac:dyDescent="0.35">
      <c r="B29" s="30" t="s">
        <v>41</v>
      </c>
      <c r="C29" s="6" t="s">
        <v>42</v>
      </c>
    </row>
    <row r="30" spans="2:5" x14ac:dyDescent="0.35">
      <c r="B30" s="30" t="s">
        <v>43</v>
      </c>
      <c r="C30" s="6" t="s">
        <v>44</v>
      </c>
    </row>
    <row r="31" spans="2:5" x14ac:dyDescent="0.35">
      <c r="B31" s="30" t="s">
        <v>45</v>
      </c>
      <c r="C31" s="6" t="s">
        <v>46</v>
      </c>
    </row>
    <row r="32" spans="2:5" x14ac:dyDescent="0.35">
      <c r="B32" s="30" t="s">
        <v>47</v>
      </c>
      <c r="C32" s="6" t="s">
        <v>48</v>
      </c>
    </row>
    <row r="34" spans="2:2" x14ac:dyDescent="0.35">
      <c r="B34" s="31" t="s">
        <v>49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95F4-4F5E-154E-A652-AD3AD4C7DC42}">
  <sheetPr>
    <tabColor rgb="FF548235"/>
  </sheetPr>
  <dimension ref="A1:G44"/>
  <sheetViews>
    <sheetView topLeftCell="A14" workbookViewId="0">
      <selection activeCell="I21" sqref="I21"/>
    </sheetView>
  </sheetViews>
  <sheetFormatPr baseColWidth="10" defaultRowHeight="29" x14ac:dyDescent="0.35"/>
  <cols>
    <col min="1" max="1" width="3" style="6" customWidth="1"/>
    <col min="2" max="2" width="46.6640625" style="6" customWidth="1"/>
    <col min="3" max="7" width="20" style="6" customWidth="1"/>
    <col min="8" max="16384" width="10.83203125" style="6"/>
  </cols>
  <sheetData>
    <row r="1" spans="1:3" x14ac:dyDescent="0.35">
      <c r="A1" s="23" t="str">
        <f>HYPERLINK("#TOC!B5","← Back to TOC")</f>
        <v>← Back to TOC</v>
      </c>
    </row>
    <row r="2" spans="1:3" x14ac:dyDescent="0.35">
      <c r="B2" s="46" t="s">
        <v>50</v>
      </c>
    </row>
    <row r="4" spans="1:3" x14ac:dyDescent="0.35">
      <c r="B4" s="47" t="s">
        <v>51</v>
      </c>
    </row>
    <row r="5" spans="1:3" x14ac:dyDescent="0.35">
      <c r="B5" s="6" t="s">
        <v>52</v>
      </c>
    </row>
    <row r="6" spans="1:3" x14ac:dyDescent="0.35">
      <c r="B6" s="6" t="s">
        <v>53</v>
      </c>
    </row>
    <row r="7" spans="1:3" x14ac:dyDescent="0.35">
      <c r="B7" s="6" t="s">
        <v>54</v>
      </c>
    </row>
    <row r="8" spans="1:3" x14ac:dyDescent="0.35">
      <c r="B8" s="6" t="s">
        <v>55</v>
      </c>
    </row>
    <row r="10" spans="1:3" x14ac:dyDescent="0.35">
      <c r="B10" s="47" t="s">
        <v>56</v>
      </c>
    </row>
    <row r="11" spans="1:3" ht="31" x14ac:dyDescent="0.4">
      <c r="B11" s="30" t="s">
        <v>57</v>
      </c>
      <c r="C11" s="48" t="s">
        <v>58</v>
      </c>
    </row>
    <row r="12" spans="1:3" ht="31" x14ac:dyDescent="0.4">
      <c r="B12" s="30" t="s">
        <v>59</v>
      </c>
      <c r="C12" s="48" t="s">
        <v>60</v>
      </c>
    </row>
    <row r="13" spans="1:3" ht="31" x14ac:dyDescent="0.4">
      <c r="B13" s="30" t="s">
        <v>61</v>
      </c>
      <c r="C13" s="49" t="s">
        <v>62</v>
      </c>
    </row>
    <row r="15" spans="1:3" x14ac:dyDescent="0.35">
      <c r="B15" s="47" t="s">
        <v>63</v>
      </c>
    </row>
    <row r="17" spans="2:7" x14ac:dyDescent="0.35">
      <c r="B17" s="50" t="s">
        <v>64</v>
      </c>
      <c r="C17" s="50" t="s">
        <v>65</v>
      </c>
      <c r="D17" s="50" t="s">
        <v>66</v>
      </c>
      <c r="E17" s="50" t="s">
        <v>67</v>
      </c>
      <c r="F17" s="50" t="s">
        <v>68</v>
      </c>
      <c r="G17" s="50" t="s">
        <v>69</v>
      </c>
    </row>
    <row r="18" spans="2:7" x14ac:dyDescent="0.35">
      <c r="B18" s="6">
        <v>1</v>
      </c>
      <c r="C18" s="38">
        <v>2</v>
      </c>
      <c r="D18" s="38">
        <v>15</v>
      </c>
      <c r="E18" s="39">
        <f>C18-$C$27</f>
        <v>-5.5</v>
      </c>
      <c r="F18" s="39">
        <f>D18-$D$27</f>
        <v>-16.625</v>
      </c>
      <c r="G18" s="39">
        <f>E18*F18</f>
        <v>91.4375</v>
      </c>
    </row>
    <row r="19" spans="2:7" x14ac:dyDescent="0.35">
      <c r="B19" s="6">
        <v>2</v>
      </c>
      <c r="C19" s="38">
        <v>4</v>
      </c>
      <c r="D19" s="38">
        <v>20</v>
      </c>
      <c r="E19" s="39">
        <f t="shared" ref="E19:E25" si="0">C19-$C$27</f>
        <v>-3.5</v>
      </c>
      <c r="F19" s="39">
        <f t="shared" ref="F19:F25" si="1">D19-$D$27</f>
        <v>-11.625</v>
      </c>
      <c r="G19" s="39">
        <f t="shared" ref="G19:G25" si="2">E19*F19</f>
        <v>40.6875</v>
      </c>
    </row>
    <row r="20" spans="2:7" x14ac:dyDescent="0.35">
      <c r="B20" s="6">
        <v>3</v>
      </c>
      <c r="C20" s="38">
        <v>5</v>
      </c>
      <c r="D20" s="38">
        <v>24</v>
      </c>
      <c r="E20" s="39">
        <f t="shared" si="0"/>
        <v>-2.5</v>
      </c>
      <c r="F20" s="39">
        <f t="shared" si="1"/>
        <v>-7.625</v>
      </c>
      <c r="G20" s="39">
        <f t="shared" si="2"/>
        <v>19.0625</v>
      </c>
    </row>
    <row r="21" spans="2:7" x14ac:dyDescent="0.35">
      <c r="B21" s="6">
        <v>4</v>
      </c>
      <c r="C21" s="38">
        <v>7</v>
      </c>
      <c r="D21" s="38">
        <v>30</v>
      </c>
      <c r="E21" s="39">
        <f t="shared" si="0"/>
        <v>-0.5</v>
      </c>
      <c r="F21" s="39">
        <f t="shared" si="1"/>
        <v>-1.625</v>
      </c>
      <c r="G21" s="39">
        <f t="shared" si="2"/>
        <v>0.8125</v>
      </c>
    </row>
    <row r="22" spans="2:7" x14ac:dyDescent="0.35">
      <c r="B22" s="6">
        <v>5</v>
      </c>
      <c r="C22" s="38">
        <v>8</v>
      </c>
      <c r="D22" s="38">
        <v>34</v>
      </c>
      <c r="E22" s="39">
        <f t="shared" si="0"/>
        <v>0.5</v>
      </c>
      <c r="F22" s="39">
        <f t="shared" si="1"/>
        <v>2.375</v>
      </c>
      <c r="G22" s="39">
        <f t="shared" si="2"/>
        <v>1.1875</v>
      </c>
    </row>
    <row r="23" spans="2:7" x14ac:dyDescent="0.35">
      <c r="B23" s="6">
        <v>6</v>
      </c>
      <c r="C23" s="38">
        <v>10</v>
      </c>
      <c r="D23" s="38">
        <v>40</v>
      </c>
      <c r="E23" s="39">
        <f t="shared" si="0"/>
        <v>2.5</v>
      </c>
      <c r="F23" s="39">
        <f t="shared" si="1"/>
        <v>8.375</v>
      </c>
      <c r="G23" s="39">
        <f t="shared" si="2"/>
        <v>20.9375</v>
      </c>
    </row>
    <row r="24" spans="2:7" x14ac:dyDescent="0.35">
      <c r="B24" s="6">
        <v>7</v>
      </c>
      <c r="C24" s="38">
        <v>11</v>
      </c>
      <c r="D24" s="38">
        <v>42</v>
      </c>
      <c r="E24" s="39">
        <f t="shared" si="0"/>
        <v>3.5</v>
      </c>
      <c r="F24" s="39">
        <f t="shared" si="1"/>
        <v>10.375</v>
      </c>
      <c r="G24" s="39">
        <f t="shared" si="2"/>
        <v>36.3125</v>
      </c>
    </row>
    <row r="25" spans="2:7" x14ac:dyDescent="0.35">
      <c r="B25" s="6">
        <v>8</v>
      </c>
      <c r="C25" s="38">
        <v>13</v>
      </c>
      <c r="D25" s="38">
        <v>48</v>
      </c>
      <c r="E25" s="39">
        <f t="shared" si="0"/>
        <v>5.5</v>
      </c>
      <c r="F25" s="39">
        <f t="shared" si="1"/>
        <v>16.375</v>
      </c>
      <c r="G25" s="39">
        <f t="shared" si="2"/>
        <v>90.0625</v>
      </c>
    </row>
    <row r="27" spans="2:7" x14ac:dyDescent="0.35">
      <c r="B27" s="51" t="s">
        <v>70</v>
      </c>
      <c r="C27" s="52">
        <f>AVERAGE(C18:C25)</f>
        <v>7.5</v>
      </c>
      <c r="D27" s="52">
        <f>AVERAGE(D18:D25)</f>
        <v>31.625</v>
      </c>
      <c r="E27" s="53"/>
      <c r="F27" s="54" t="s">
        <v>71</v>
      </c>
      <c r="G27" s="52">
        <f>SUM(G18:G25)</f>
        <v>300.5</v>
      </c>
    </row>
    <row r="29" spans="2:7" x14ac:dyDescent="0.35">
      <c r="B29" s="55" t="s">
        <v>72</v>
      </c>
      <c r="C29" s="30">
        <f>COUNT(C18:C25)</f>
        <v>8</v>
      </c>
    </row>
    <row r="30" spans="2:7" x14ac:dyDescent="0.35">
      <c r="B30" s="30" t="s">
        <v>73</v>
      </c>
      <c r="C30" s="45">
        <f>G27/(C29-1)</f>
        <v>42.928571428571431</v>
      </c>
    </row>
    <row r="31" spans="2:7" x14ac:dyDescent="0.35">
      <c r="B31" s="30" t="s">
        <v>74</v>
      </c>
      <c r="C31" s="45">
        <f>_xlfn.COVARIANCE.S(C18:C25,D18:D25)</f>
        <v>42.928571428571431</v>
      </c>
    </row>
    <row r="32" spans="2:7" x14ac:dyDescent="0.35">
      <c r="B32" s="30" t="s">
        <v>75</v>
      </c>
      <c r="C32" s="45">
        <f>_xlfn.COVARIANCE.P(C18:C25,D18:D25)</f>
        <v>37.5625</v>
      </c>
    </row>
    <row r="34" spans="2:2" x14ac:dyDescent="0.35">
      <c r="B34" s="47" t="s">
        <v>76</v>
      </c>
    </row>
    <row r="35" spans="2:2" x14ac:dyDescent="0.35">
      <c r="B35" s="30" t="s">
        <v>77</v>
      </c>
    </row>
    <row r="36" spans="2:2" x14ac:dyDescent="0.35">
      <c r="B36" s="6" t="s">
        <v>78</v>
      </c>
    </row>
    <row r="38" spans="2:2" x14ac:dyDescent="0.35">
      <c r="B38" s="47" t="s">
        <v>79</v>
      </c>
    </row>
    <row r="39" spans="2:2" x14ac:dyDescent="0.35">
      <c r="B39" s="6" t="s">
        <v>80</v>
      </c>
    </row>
    <row r="40" spans="2:2" x14ac:dyDescent="0.35">
      <c r="B40" s="6" t="s">
        <v>81</v>
      </c>
    </row>
    <row r="41" spans="2:2" x14ac:dyDescent="0.35">
      <c r="B41" s="6" t="s">
        <v>82</v>
      </c>
    </row>
    <row r="42" spans="2:2" x14ac:dyDescent="0.35">
      <c r="B42" s="6" t="s">
        <v>83</v>
      </c>
    </row>
    <row r="44" spans="2:2" x14ac:dyDescent="0.35">
      <c r="B44" s="31" t="s">
        <v>84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DEA6-4206-0343-B5B4-A94C3FAF2F3D}">
  <sheetPr>
    <tabColor rgb="FFBF8F00"/>
  </sheetPr>
  <dimension ref="A1:I56"/>
  <sheetViews>
    <sheetView workbookViewId="0">
      <selection activeCell="B5" sqref="B5"/>
    </sheetView>
  </sheetViews>
  <sheetFormatPr baseColWidth="10" defaultRowHeight="29" x14ac:dyDescent="0.35"/>
  <cols>
    <col min="1" max="1" width="3" style="6" customWidth="1"/>
    <col min="2" max="2" width="58" style="6" customWidth="1"/>
    <col min="3" max="9" width="18.33203125" style="6" customWidth="1"/>
    <col min="10" max="16384" width="10.83203125" style="6"/>
  </cols>
  <sheetData>
    <row r="1" spans="1:3" x14ac:dyDescent="0.35">
      <c r="A1" s="23" t="str">
        <f>HYPERLINK("#TOC!B5","← Back to TOC")</f>
        <v>← Back to TOC</v>
      </c>
    </row>
    <row r="2" spans="1:3" x14ac:dyDescent="0.35">
      <c r="B2" s="32" t="s">
        <v>85</v>
      </c>
    </row>
    <row r="4" spans="1:3" x14ac:dyDescent="0.35">
      <c r="B4" s="33" t="s">
        <v>51</v>
      </c>
    </row>
    <row r="5" spans="1:3" ht="73" customHeight="1" x14ac:dyDescent="0.35">
      <c r="B5" s="137" t="s">
        <v>86</v>
      </c>
    </row>
    <row r="7" spans="1:3" x14ac:dyDescent="0.35">
      <c r="B7" s="33" t="s">
        <v>87</v>
      </c>
    </row>
    <row r="8" spans="1:3" ht="31" x14ac:dyDescent="0.4">
      <c r="B8" s="30" t="s">
        <v>88</v>
      </c>
      <c r="C8" s="34" t="s">
        <v>89</v>
      </c>
    </row>
    <row r="9" spans="1:3" ht="31" x14ac:dyDescent="0.4">
      <c r="B9" s="30" t="s">
        <v>61</v>
      </c>
      <c r="C9" s="35" t="s">
        <v>90</v>
      </c>
    </row>
    <row r="11" spans="1:3" x14ac:dyDescent="0.35">
      <c r="B11" s="33" t="s">
        <v>91</v>
      </c>
    </row>
    <row r="12" spans="1:3" x14ac:dyDescent="0.35">
      <c r="B12" s="36" t="s">
        <v>92</v>
      </c>
      <c r="C12" s="32" t="s">
        <v>76</v>
      </c>
    </row>
    <row r="13" spans="1:3" x14ac:dyDescent="0.35">
      <c r="B13" s="14" t="s">
        <v>93</v>
      </c>
      <c r="C13" s="16" t="s">
        <v>94</v>
      </c>
    </row>
    <row r="14" spans="1:3" x14ac:dyDescent="0.35">
      <c r="B14" s="14" t="s">
        <v>95</v>
      </c>
      <c r="C14" s="16" t="s">
        <v>96</v>
      </c>
    </row>
    <row r="15" spans="1:3" x14ac:dyDescent="0.35">
      <c r="B15" s="14" t="s">
        <v>97</v>
      </c>
      <c r="C15" s="16" t="s">
        <v>98</v>
      </c>
    </row>
    <row r="16" spans="1:3" x14ac:dyDescent="0.35">
      <c r="B16" s="14" t="s">
        <v>99</v>
      </c>
      <c r="C16" s="16" t="s">
        <v>100</v>
      </c>
    </row>
    <row r="17" spans="2:9" x14ac:dyDescent="0.35">
      <c r="B17" s="14" t="s">
        <v>101</v>
      </c>
      <c r="C17" s="16" t="s">
        <v>102</v>
      </c>
    </row>
    <row r="19" spans="2:9" x14ac:dyDescent="0.35">
      <c r="B19" s="37" t="s">
        <v>103</v>
      </c>
    </row>
    <row r="21" spans="2:9" x14ac:dyDescent="0.35">
      <c r="B21" s="36" t="s">
        <v>64</v>
      </c>
      <c r="C21" s="36" t="s">
        <v>104</v>
      </c>
      <c r="D21" s="36" t="s">
        <v>105</v>
      </c>
      <c r="E21" s="36" t="s">
        <v>106</v>
      </c>
      <c r="F21" s="36" t="s">
        <v>107</v>
      </c>
      <c r="G21" s="36" t="s">
        <v>108</v>
      </c>
      <c r="H21" s="36" t="s">
        <v>109</v>
      </c>
      <c r="I21" s="36" t="s">
        <v>69</v>
      </c>
    </row>
    <row r="22" spans="2:9" x14ac:dyDescent="0.35">
      <c r="B22" s="6">
        <v>1</v>
      </c>
      <c r="C22" s="38">
        <v>2</v>
      </c>
      <c r="D22" s="38">
        <v>55</v>
      </c>
      <c r="E22" s="39">
        <f>C22-$C$33</f>
        <v>-5.3</v>
      </c>
      <c r="F22" s="39">
        <f>D22-$D$33</f>
        <v>-21.299999999999997</v>
      </c>
      <c r="G22" s="39">
        <f>E22^2</f>
        <v>28.09</v>
      </c>
      <c r="H22" s="39">
        <f>F22^2</f>
        <v>453.68999999999988</v>
      </c>
      <c r="I22" s="39">
        <f>E22*F22</f>
        <v>112.88999999999999</v>
      </c>
    </row>
    <row r="23" spans="2:9" x14ac:dyDescent="0.35">
      <c r="B23" s="6">
        <v>2</v>
      </c>
      <c r="C23" s="38">
        <v>3</v>
      </c>
      <c r="D23" s="38">
        <v>60</v>
      </c>
      <c r="E23" s="39">
        <f t="shared" ref="E23:E31" si="0">C23-$C$33</f>
        <v>-4.3</v>
      </c>
      <c r="F23" s="39">
        <f t="shared" ref="F23:F31" si="1">D23-$D$33</f>
        <v>-16.299999999999997</v>
      </c>
      <c r="G23" s="39">
        <f t="shared" ref="G23:G31" si="2">E23^2</f>
        <v>18.489999999999998</v>
      </c>
      <c r="H23" s="39">
        <f t="shared" ref="H23:H31" si="3">F23^2</f>
        <v>265.68999999999988</v>
      </c>
      <c r="I23" s="39">
        <f t="shared" ref="I23:I31" si="4">E23*F23</f>
        <v>70.089999999999989</v>
      </c>
    </row>
    <row r="24" spans="2:9" x14ac:dyDescent="0.35">
      <c r="B24" s="6">
        <v>3</v>
      </c>
      <c r="C24" s="38">
        <v>5</v>
      </c>
      <c r="D24" s="38">
        <v>65</v>
      </c>
      <c r="E24" s="39">
        <f t="shared" si="0"/>
        <v>-2.2999999999999998</v>
      </c>
      <c r="F24" s="39">
        <f t="shared" si="1"/>
        <v>-11.299999999999997</v>
      </c>
      <c r="G24" s="39">
        <f t="shared" si="2"/>
        <v>5.2899999999999991</v>
      </c>
      <c r="H24" s="39">
        <f t="shared" si="3"/>
        <v>127.68999999999994</v>
      </c>
      <c r="I24" s="39">
        <f t="shared" si="4"/>
        <v>25.989999999999991</v>
      </c>
    </row>
    <row r="25" spans="2:9" x14ac:dyDescent="0.35">
      <c r="B25" s="6">
        <v>4</v>
      </c>
      <c r="C25" s="38">
        <v>6</v>
      </c>
      <c r="D25" s="38">
        <v>70</v>
      </c>
      <c r="E25" s="39">
        <f t="shared" si="0"/>
        <v>-1.2999999999999998</v>
      </c>
      <c r="F25" s="39">
        <f t="shared" si="1"/>
        <v>-6.2999999999999972</v>
      </c>
      <c r="G25" s="39">
        <f t="shared" si="2"/>
        <v>1.6899999999999995</v>
      </c>
      <c r="H25" s="39">
        <f t="shared" si="3"/>
        <v>39.689999999999962</v>
      </c>
      <c r="I25" s="39">
        <f t="shared" si="4"/>
        <v>8.1899999999999959</v>
      </c>
    </row>
    <row r="26" spans="2:9" x14ac:dyDescent="0.35">
      <c r="B26" s="6">
        <v>5</v>
      </c>
      <c r="C26" s="38">
        <v>7</v>
      </c>
      <c r="D26" s="38">
        <v>75</v>
      </c>
      <c r="E26" s="39">
        <f t="shared" si="0"/>
        <v>-0.29999999999999982</v>
      </c>
      <c r="F26" s="39">
        <f t="shared" si="1"/>
        <v>-1.2999999999999972</v>
      </c>
      <c r="G26" s="39">
        <f t="shared" si="2"/>
        <v>8.99999999999999E-2</v>
      </c>
      <c r="H26" s="39">
        <f t="shared" si="3"/>
        <v>1.6899999999999926</v>
      </c>
      <c r="I26" s="39">
        <f t="shared" si="4"/>
        <v>0.3899999999999989</v>
      </c>
    </row>
    <row r="27" spans="2:9" x14ac:dyDescent="0.35">
      <c r="B27" s="6">
        <v>6</v>
      </c>
      <c r="C27" s="38">
        <v>8</v>
      </c>
      <c r="D27" s="38">
        <v>78</v>
      </c>
      <c r="E27" s="39">
        <f t="shared" si="0"/>
        <v>0.70000000000000018</v>
      </c>
      <c r="F27" s="39">
        <f t="shared" si="1"/>
        <v>1.7000000000000028</v>
      </c>
      <c r="G27" s="39">
        <f t="shared" si="2"/>
        <v>0.49000000000000027</v>
      </c>
      <c r="H27" s="39">
        <f t="shared" si="3"/>
        <v>2.8900000000000095</v>
      </c>
      <c r="I27" s="39">
        <f t="shared" si="4"/>
        <v>1.1900000000000024</v>
      </c>
    </row>
    <row r="28" spans="2:9" x14ac:dyDescent="0.35">
      <c r="B28" s="6">
        <v>7</v>
      </c>
      <c r="C28" s="38">
        <v>9</v>
      </c>
      <c r="D28" s="38">
        <v>85</v>
      </c>
      <c r="E28" s="39">
        <f t="shared" si="0"/>
        <v>1.7000000000000002</v>
      </c>
      <c r="F28" s="39">
        <f t="shared" si="1"/>
        <v>8.7000000000000028</v>
      </c>
      <c r="G28" s="39">
        <f t="shared" si="2"/>
        <v>2.8900000000000006</v>
      </c>
      <c r="H28" s="39">
        <f t="shared" si="3"/>
        <v>75.690000000000055</v>
      </c>
      <c r="I28" s="39">
        <f t="shared" si="4"/>
        <v>14.790000000000006</v>
      </c>
    </row>
    <row r="29" spans="2:9" x14ac:dyDescent="0.35">
      <c r="B29" s="6">
        <v>8</v>
      </c>
      <c r="C29" s="38">
        <v>10</v>
      </c>
      <c r="D29" s="38">
        <v>88</v>
      </c>
      <c r="E29" s="39">
        <f t="shared" si="0"/>
        <v>2.7</v>
      </c>
      <c r="F29" s="39">
        <f t="shared" si="1"/>
        <v>11.700000000000003</v>
      </c>
      <c r="G29" s="39">
        <f t="shared" si="2"/>
        <v>7.2900000000000009</v>
      </c>
      <c r="H29" s="39">
        <f t="shared" si="3"/>
        <v>136.89000000000007</v>
      </c>
      <c r="I29" s="39">
        <f t="shared" si="4"/>
        <v>31.590000000000011</v>
      </c>
    </row>
    <row r="30" spans="2:9" x14ac:dyDescent="0.35">
      <c r="B30" s="6">
        <v>9</v>
      </c>
      <c r="C30" s="38">
        <v>11</v>
      </c>
      <c r="D30" s="38">
        <v>92</v>
      </c>
      <c r="E30" s="39">
        <f t="shared" si="0"/>
        <v>3.7</v>
      </c>
      <c r="F30" s="39">
        <f t="shared" si="1"/>
        <v>15.700000000000003</v>
      </c>
      <c r="G30" s="39">
        <f t="shared" si="2"/>
        <v>13.690000000000001</v>
      </c>
      <c r="H30" s="39">
        <f t="shared" si="3"/>
        <v>246.49000000000009</v>
      </c>
      <c r="I30" s="39">
        <f t="shared" si="4"/>
        <v>58.090000000000011</v>
      </c>
    </row>
    <row r="31" spans="2:9" x14ac:dyDescent="0.35">
      <c r="B31" s="6">
        <v>10</v>
      </c>
      <c r="C31" s="38">
        <v>12</v>
      </c>
      <c r="D31" s="38">
        <v>95</v>
      </c>
      <c r="E31" s="39">
        <f t="shared" si="0"/>
        <v>4.7</v>
      </c>
      <c r="F31" s="39">
        <f t="shared" si="1"/>
        <v>18.700000000000003</v>
      </c>
      <c r="G31" s="39">
        <f t="shared" si="2"/>
        <v>22.090000000000003</v>
      </c>
      <c r="H31" s="39">
        <f t="shared" si="3"/>
        <v>349.69000000000011</v>
      </c>
      <c r="I31" s="39">
        <f t="shared" si="4"/>
        <v>87.890000000000015</v>
      </c>
    </row>
    <row r="33" spans="2:9" x14ac:dyDescent="0.35">
      <c r="B33" s="40" t="s">
        <v>70</v>
      </c>
      <c r="C33" s="41">
        <f>AVERAGE(C22:C31)</f>
        <v>7.3</v>
      </c>
      <c r="D33" s="41">
        <f>AVERAGE(D22:D31)</f>
        <v>76.3</v>
      </c>
      <c r="F33" s="42" t="s">
        <v>110</v>
      </c>
      <c r="G33" s="41">
        <f>SUM(G22:G31)</f>
        <v>100.10000000000001</v>
      </c>
      <c r="H33" s="41">
        <f>SUM(H22:H31)</f>
        <v>1700.0999999999997</v>
      </c>
      <c r="I33" s="41">
        <f>SUM(I22:I31)</f>
        <v>411.1</v>
      </c>
    </row>
    <row r="35" spans="2:9" x14ac:dyDescent="0.35">
      <c r="B35" s="33" t="s">
        <v>111</v>
      </c>
    </row>
    <row r="36" spans="2:9" x14ac:dyDescent="0.35">
      <c r="B36" s="30" t="s">
        <v>112</v>
      </c>
      <c r="C36" s="43">
        <f>I33</f>
        <v>411.1</v>
      </c>
    </row>
    <row r="37" spans="2:9" x14ac:dyDescent="0.35">
      <c r="B37" s="30" t="s">
        <v>113</v>
      </c>
      <c r="C37" s="44">
        <f>SQRT(G33*H33)</f>
        <v>412.52879899468837</v>
      </c>
    </row>
    <row r="38" spans="2:9" x14ac:dyDescent="0.35">
      <c r="B38" s="30" t="s">
        <v>114</v>
      </c>
      <c r="C38" s="45">
        <f>C36/C37</f>
        <v>0.99653648666912409</v>
      </c>
    </row>
    <row r="39" spans="2:9" x14ac:dyDescent="0.35">
      <c r="B39" s="30" t="s">
        <v>115</v>
      </c>
      <c r="C39" s="45">
        <f>CORREL(C22:C31,D22:D31)</f>
        <v>0.99653648666912376</v>
      </c>
    </row>
    <row r="40" spans="2:9" x14ac:dyDescent="0.35">
      <c r="B40" s="30" t="s">
        <v>116</v>
      </c>
      <c r="C40" s="45">
        <f>C39^2</f>
        <v>0.99308496926284062</v>
      </c>
      <c r="D40" s="93">
        <f>RSQ(D22:D31,C22:C31)</f>
        <v>0.99308496926284084</v>
      </c>
    </row>
    <row r="42" spans="2:9" x14ac:dyDescent="0.35">
      <c r="B42" s="33" t="s">
        <v>76</v>
      </c>
    </row>
    <row r="43" spans="2:9" x14ac:dyDescent="0.35">
      <c r="B43" s="93" t="s">
        <v>117</v>
      </c>
      <c r="C43" s="93"/>
      <c r="D43" s="93"/>
      <c r="E43" s="93"/>
      <c r="F43" s="93"/>
    </row>
    <row r="44" spans="2:9" x14ac:dyDescent="0.35">
      <c r="B44" s="93" t="s">
        <v>367</v>
      </c>
      <c r="C44" s="93"/>
      <c r="D44" s="93"/>
      <c r="E44" s="93"/>
      <c r="F44" s="93"/>
    </row>
    <row r="46" spans="2:9" x14ac:dyDescent="0.35">
      <c r="B46" s="33" t="s">
        <v>118</v>
      </c>
    </row>
    <row r="47" spans="2:9" x14ac:dyDescent="0.35">
      <c r="B47" s="6" t="s">
        <v>119</v>
      </c>
    </row>
    <row r="48" spans="2:9" ht="31" x14ac:dyDescent="0.4">
      <c r="B48" s="34" t="s">
        <v>120</v>
      </c>
    </row>
    <row r="49" spans="2:2" ht="31" x14ac:dyDescent="0.4">
      <c r="B49" s="34" t="s">
        <v>121</v>
      </c>
    </row>
    <row r="51" spans="2:2" x14ac:dyDescent="0.35">
      <c r="B51" s="33" t="s">
        <v>122</v>
      </c>
    </row>
    <row r="52" spans="2:2" x14ac:dyDescent="0.35">
      <c r="B52" s="6" t="s">
        <v>123</v>
      </c>
    </row>
    <row r="53" spans="2:2" x14ac:dyDescent="0.35">
      <c r="B53" s="6" t="s">
        <v>124</v>
      </c>
    </row>
    <row r="54" spans="2:2" x14ac:dyDescent="0.35">
      <c r="B54" s="6" t="s">
        <v>125</v>
      </c>
    </row>
    <row r="56" spans="2:2" x14ac:dyDescent="0.35">
      <c r="B56" s="31" t="s">
        <v>126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425F-406A-0F4C-B92C-E06A703220BC}">
  <sheetPr>
    <tabColor rgb="FFC00000"/>
  </sheetPr>
  <dimension ref="A1:S57"/>
  <sheetViews>
    <sheetView workbookViewId="0">
      <selection activeCell="F17" sqref="F17"/>
    </sheetView>
  </sheetViews>
  <sheetFormatPr baseColWidth="10" defaultRowHeight="29" x14ac:dyDescent="0.35"/>
  <cols>
    <col min="1" max="1" width="3" style="6" customWidth="1"/>
    <col min="2" max="2" width="46.6640625" style="6" customWidth="1"/>
    <col min="3" max="7" width="21.6640625" style="6" customWidth="1"/>
    <col min="8" max="17" width="10.83203125" style="6"/>
    <col min="18" max="19" width="0" style="6" hidden="1" customWidth="1"/>
    <col min="20" max="16384" width="10.83203125" style="6"/>
  </cols>
  <sheetData>
    <row r="1" spans="1:19" x14ac:dyDescent="0.35">
      <c r="A1" s="23" t="str">
        <f>HYPERLINK("#TOC!B5","← Back to TOC")</f>
        <v>← Back to TOC</v>
      </c>
    </row>
    <row r="2" spans="1:19" x14ac:dyDescent="0.35">
      <c r="B2" s="56" t="s">
        <v>127</v>
      </c>
    </row>
    <row r="4" spans="1:19" x14ac:dyDescent="0.35">
      <c r="B4" s="57" t="s">
        <v>51</v>
      </c>
    </row>
    <row r="5" spans="1:19" x14ac:dyDescent="0.35">
      <c r="B5" s="6" t="s">
        <v>128</v>
      </c>
    </row>
    <row r="6" spans="1:19" ht="31" x14ac:dyDescent="0.4">
      <c r="B6" s="58" t="s">
        <v>129</v>
      </c>
    </row>
    <row r="8" spans="1:19" x14ac:dyDescent="0.35">
      <c r="B8" s="57" t="s">
        <v>130</v>
      </c>
    </row>
    <row r="9" spans="1:19" ht="31" x14ac:dyDescent="0.4">
      <c r="B9" s="30" t="s">
        <v>131</v>
      </c>
      <c r="C9" s="58" t="s">
        <v>132</v>
      </c>
    </row>
    <row r="10" spans="1:19" ht="31" x14ac:dyDescent="0.4">
      <c r="B10" s="30" t="s">
        <v>133</v>
      </c>
      <c r="C10" s="58" t="s">
        <v>134</v>
      </c>
    </row>
    <row r="11" spans="1:19" ht="31" x14ac:dyDescent="0.4">
      <c r="B11" s="30" t="s">
        <v>61</v>
      </c>
      <c r="C11" s="58" t="s">
        <v>135</v>
      </c>
    </row>
    <row r="13" spans="1:19" x14ac:dyDescent="0.35">
      <c r="B13" s="57" t="s">
        <v>136</v>
      </c>
    </row>
    <row r="15" spans="1:19" x14ac:dyDescent="0.35">
      <c r="B15" s="59" t="s">
        <v>64</v>
      </c>
      <c r="C15" s="59" t="s">
        <v>137</v>
      </c>
      <c r="D15" s="59" t="s">
        <v>138</v>
      </c>
      <c r="E15" s="59" t="s">
        <v>139</v>
      </c>
      <c r="F15" s="59" t="s">
        <v>140</v>
      </c>
      <c r="G15" s="59" t="s">
        <v>141</v>
      </c>
      <c r="R15" s="6" t="s">
        <v>34</v>
      </c>
      <c r="S15" s="6" t="s">
        <v>167</v>
      </c>
    </row>
    <row r="16" spans="1:19" x14ac:dyDescent="0.35">
      <c r="B16" s="6">
        <v>1</v>
      </c>
      <c r="C16" s="38">
        <v>14</v>
      </c>
      <c r="D16" s="38">
        <v>215</v>
      </c>
      <c r="E16" s="39">
        <f>$C$30+$C$29*C16</f>
        <v>215.72847682119203</v>
      </c>
      <c r="F16" s="39">
        <f>D16-E16</f>
        <v>-0.72847682119203228</v>
      </c>
      <c r="G16" s="39">
        <f>F16^2</f>
        <v>0.53067847901404819</v>
      </c>
      <c r="R16" s="6">
        <f t="shared" ref="R16:R25" si="0">C16</f>
        <v>14</v>
      </c>
      <c r="S16" s="39">
        <f t="shared" ref="S16:S25" si="1">F16</f>
        <v>-0.72847682119203228</v>
      </c>
    </row>
    <row r="17" spans="2:19" x14ac:dyDescent="0.35">
      <c r="B17" s="6">
        <v>2</v>
      </c>
      <c r="C17" s="38">
        <v>16</v>
      </c>
      <c r="D17" s="38">
        <v>250</v>
      </c>
      <c r="E17" s="39">
        <f t="shared" ref="E17:E25" si="2">$C$30+$C$29*C17</f>
        <v>251.44039735099335</v>
      </c>
      <c r="F17" s="39">
        <f t="shared" ref="F17:F25" si="3">D17-E17</f>
        <v>-1.4403973509933508</v>
      </c>
      <c r="G17" s="39">
        <f t="shared" ref="G17:G25" si="4">F17^2</f>
        <v>2.0747445287486621</v>
      </c>
      <c r="R17" s="6">
        <f t="shared" si="0"/>
        <v>16</v>
      </c>
      <c r="S17" s="39">
        <f t="shared" si="1"/>
        <v>-1.4403973509933508</v>
      </c>
    </row>
    <row r="18" spans="2:19" x14ac:dyDescent="0.35">
      <c r="B18" s="6">
        <v>3</v>
      </c>
      <c r="C18" s="38">
        <v>19</v>
      </c>
      <c r="D18" s="38">
        <v>305</v>
      </c>
      <c r="E18" s="39">
        <f t="shared" si="2"/>
        <v>305.00827814569533</v>
      </c>
      <c r="F18" s="39">
        <f t="shared" si="3"/>
        <v>-8.278145695328476E-3</v>
      </c>
      <c r="G18" s="39">
        <f t="shared" si="4"/>
        <v>6.8527696153085376E-5</v>
      </c>
      <c r="R18" s="6">
        <f t="shared" si="0"/>
        <v>19</v>
      </c>
      <c r="S18" s="39">
        <f t="shared" si="1"/>
        <v>-8.278145695328476E-3</v>
      </c>
    </row>
    <row r="19" spans="2:19" x14ac:dyDescent="0.35">
      <c r="B19" s="6">
        <v>4</v>
      </c>
      <c r="C19" s="38">
        <v>22</v>
      </c>
      <c r="D19" s="38">
        <v>360</v>
      </c>
      <c r="E19" s="39">
        <f t="shared" si="2"/>
        <v>358.57615894039731</v>
      </c>
      <c r="F19" s="39">
        <f t="shared" si="3"/>
        <v>1.4238410596026938</v>
      </c>
      <c r="G19" s="39">
        <f t="shared" si="4"/>
        <v>2.0273233630105216</v>
      </c>
      <c r="R19" s="6">
        <f t="shared" si="0"/>
        <v>22</v>
      </c>
      <c r="S19" s="39">
        <f t="shared" si="1"/>
        <v>1.4238410596026938</v>
      </c>
    </row>
    <row r="20" spans="2:19" x14ac:dyDescent="0.35">
      <c r="B20" s="6">
        <v>5</v>
      </c>
      <c r="C20" s="38">
        <v>25</v>
      </c>
      <c r="D20" s="38">
        <v>410</v>
      </c>
      <c r="E20" s="39">
        <f t="shared" si="2"/>
        <v>412.14403973509934</v>
      </c>
      <c r="F20" s="39">
        <f t="shared" si="3"/>
        <v>-2.1440397350993408</v>
      </c>
      <c r="G20" s="39">
        <f t="shared" si="4"/>
        <v>4.5969063856848509</v>
      </c>
      <c r="R20" s="6">
        <f t="shared" si="0"/>
        <v>25</v>
      </c>
      <c r="S20" s="39">
        <f t="shared" si="1"/>
        <v>-2.1440397350993408</v>
      </c>
    </row>
    <row r="21" spans="2:19" x14ac:dyDescent="0.35">
      <c r="B21" s="6">
        <v>6</v>
      </c>
      <c r="C21" s="38">
        <v>28</v>
      </c>
      <c r="D21" s="38">
        <v>470</v>
      </c>
      <c r="E21" s="39">
        <f t="shared" si="2"/>
        <v>465.71192052980132</v>
      </c>
      <c r="F21" s="39">
        <f t="shared" si="3"/>
        <v>4.2880794701986815</v>
      </c>
      <c r="G21" s="39">
        <f t="shared" si="4"/>
        <v>18.387625542739404</v>
      </c>
      <c r="R21" s="6">
        <f t="shared" si="0"/>
        <v>28</v>
      </c>
      <c r="S21" s="39">
        <f t="shared" si="1"/>
        <v>4.2880794701986815</v>
      </c>
    </row>
    <row r="22" spans="2:19" x14ac:dyDescent="0.35">
      <c r="B22" s="6">
        <v>7</v>
      </c>
      <c r="C22" s="38">
        <v>30</v>
      </c>
      <c r="D22" s="38">
        <v>500</v>
      </c>
      <c r="E22" s="39">
        <f t="shared" si="2"/>
        <v>501.42384105960264</v>
      </c>
      <c r="F22" s="39">
        <f t="shared" si="3"/>
        <v>-1.423841059602637</v>
      </c>
      <c r="G22" s="39">
        <f t="shared" si="4"/>
        <v>2.02732336301036</v>
      </c>
      <c r="R22" s="6">
        <f t="shared" si="0"/>
        <v>30</v>
      </c>
      <c r="S22" s="39">
        <f t="shared" si="1"/>
        <v>-1.423841059602637</v>
      </c>
    </row>
    <row r="23" spans="2:19" x14ac:dyDescent="0.35">
      <c r="B23" s="6">
        <v>8</v>
      </c>
      <c r="C23" s="38">
        <v>33</v>
      </c>
      <c r="D23" s="38">
        <v>560</v>
      </c>
      <c r="E23" s="39">
        <f t="shared" si="2"/>
        <v>554.99172185430461</v>
      </c>
      <c r="F23" s="39">
        <f t="shared" si="3"/>
        <v>5.0082781456953853</v>
      </c>
      <c r="G23" s="39">
        <f t="shared" si="4"/>
        <v>25.082849984650007</v>
      </c>
      <c r="R23" s="6">
        <f t="shared" si="0"/>
        <v>33</v>
      </c>
      <c r="S23" s="39">
        <f t="shared" si="1"/>
        <v>5.0082781456953853</v>
      </c>
    </row>
    <row r="24" spans="2:19" x14ac:dyDescent="0.35">
      <c r="B24" s="6">
        <v>9</v>
      </c>
      <c r="C24" s="38">
        <v>35</v>
      </c>
      <c r="D24" s="38">
        <v>590</v>
      </c>
      <c r="E24" s="39">
        <f t="shared" si="2"/>
        <v>590.70364238410593</v>
      </c>
      <c r="F24" s="39">
        <f t="shared" si="3"/>
        <v>-0.70364238410593316</v>
      </c>
      <c r="G24" s="39">
        <f t="shared" si="4"/>
        <v>0.49511260471028157</v>
      </c>
      <c r="R24" s="6">
        <f t="shared" si="0"/>
        <v>35</v>
      </c>
      <c r="S24" s="39">
        <f t="shared" si="1"/>
        <v>-0.70364238410593316</v>
      </c>
    </row>
    <row r="25" spans="2:19" x14ac:dyDescent="0.35">
      <c r="B25" s="6">
        <v>10</v>
      </c>
      <c r="C25" s="38">
        <v>38</v>
      </c>
      <c r="D25" s="38">
        <v>640</v>
      </c>
      <c r="E25" s="39">
        <f t="shared" si="2"/>
        <v>644.27152317880791</v>
      </c>
      <c r="F25" s="39">
        <f t="shared" si="3"/>
        <v>-4.2715231788079109</v>
      </c>
      <c r="G25" s="39">
        <f t="shared" si="4"/>
        <v>18.24591026709324</v>
      </c>
      <c r="R25" s="6">
        <f t="shared" si="0"/>
        <v>38</v>
      </c>
      <c r="S25" s="39">
        <f t="shared" si="1"/>
        <v>-4.2715231788079109</v>
      </c>
    </row>
    <row r="28" spans="2:19" x14ac:dyDescent="0.35">
      <c r="B28" s="57" t="s">
        <v>142</v>
      </c>
    </row>
    <row r="29" spans="2:19" x14ac:dyDescent="0.35">
      <c r="B29" s="30" t="s">
        <v>143</v>
      </c>
      <c r="C29" s="45">
        <f>SLOPE(D16:D25,C16:C25)</f>
        <v>17.855960264900663</v>
      </c>
      <c r="D29" s="26" t="s">
        <v>144</v>
      </c>
    </row>
    <row r="30" spans="2:19" x14ac:dyDescent="0.35">
      <c r="B30" s="30" t="s">
        <v>145</v>
      </c>
      <c r="C30" s="45">
        <f>INTERCEPT(D16:D25,C16:C25)</f>
        <v>-34.254966887417254</v>
      </c>
      <c r="D30" s="26" t="s">
        <v>146</v>
      </c>
    </row>
    <row r="31" spans="2:19" x14ac:dyDescent="0.35">
      <c r="B31" s="30" t="s">
        <v>147</v>
      </c>
      <c r="C31" s="60" t="str">
        <f>"Ŷ = "&amp;ROUND(C30,2)&amp;" + "&amp;ROUND(C29,3)&amp;" · X"</f>
        <v>Ŷ = -34.25 + 17.856 · X</v>
      </c>
    </row>
    <row r="32" spans="2:19" x14ac:dyDescent="0.35">
      <c r="B32" s="30" t="s">
        <v>148</v>
      </c>
      <c r="C32" s="44">
        <f>CORREL(C16:C25,D16:D25)</f>
        <v>0.99980930301367976</v>
      </c>
    </row>
    <row r="33" spans="2:3" x14ac:dyDescent="0.35">
      <c r="B33" s="30" t="s">
        <v>116</v>
      </c>
      <c r="C33" s="45">
        <f>RSQ(D16:D25,C16:C25)</f>
        <v>0.99961864239270015</v>
      </c>
    </row>
    <row r="34" spans="2:3" x14ac:dyDescent="0.35">
      <c r="B34" s="30" t="s">
        <v>149</v>
      </c>
      <c r="C34" s="44">
        <f>STEYX(D16:D25,C16:C25)</f>
        <v>3.0304402123775227</v>
      </c>
    </row>
    <row r="35" spans="2:3" x14ac:dyDescent="0.35">
      <c r="B35" s="30" t="s">
        <v>150</v>
      </c>
      <c r="C35" s="44">
        <f>SUM(G16:G25)</f>
        <v>73.468543046357524</v>
      </c>
    </row>
    <row r="37" spans="2:3" x14ac:dyDescent="0.35">
      <c r="B37" s="57" t="s">
        <v>151</v>
      </c>
    </row>
    <row r="38" spans="2:3" x14ac:dyDescent="0.35">
      <c r="B38" s="30" t="s">
        <v>152</v>
      </c>
      <c r="C38" s="61">
        <v>27</v>
      </c>
    </row>
    <row r="39" spans="2:3" x14ac:dyDescent="0.35">
      <c r="B39" s="30" t="s">
        <v>153</v>
      </c>
      <c r="C39" s="62">
        <f>C30+C29*C38</f>
        <v>447.85596026490066</v>
      </c>
    </row>
    <row r="40" spans="2:3" x14ac:dyDescent="0.35">
      <c r="B40" s="30" t="s">
        <v>154</v>
      </c>
      <c r="C40" s="63" cm="1">
        <f t="array" ref="C40">TREND(D16:D25,C16:C25,C38)</f>
        <v>447.85596026490066</v>
      </c>
    </row>
    <row r="42" spans="2:3" x14ac:dyDescent="0.35">
      <c r="B42" s="57" t="s">
        <v>76</v>
      </c>
    </row>
    <row r="43" spans="2:3" x14ac:dyDescent="0.35">
      <c r="B43" s="30" t="s">
        <v>155</v>
      </c>
    </row>
    <row r="44" spans="2:3" x14ac:dyDescent="0.35">
      <c r="B44" s="6" t="s">
        <v>156</v>
      </c>
    </row>
    <row r="45" spans="2:3" x14ac:dyDescent="0.35">
      <c r="B45" s="6" t="s">
        <v>157</v>
      </c>
    </row>
    <row r="47" spans="2:3" x14ac:dyDescent="0.35">
      <c r="B47" s="57" t="s">
        <v>158</v>
      </c>
    </row>
    <row r="48" spans="2:3" x14ac:dyDescent="0.35">
      <c r="B48" s="6" t="s">
        <v>159</v>
      </c>
    </row>
    <row r="49" spans="2:2" x14ac:dyDescent="0.35">
      <c r="B49" s="6" t="s">
        <v>160</v>
      </c>
    </row>
    <row r="50" spans="2:2" x14ac:dyDescent="0.35">
      <c r="B50" s="6" t="s">
        <v>161</v>
      </c>
    </row>
    <row r="51" spans="2:2" x14ac:dyDescent="0.35">
      <c r="B51" s="6" t="s">
        <v>162</v>
      </c>
    </row>
    <row r="53" spans="2:2" x14ac:dyDescent="0.35">
      <c r="B53" s="57" t="s">
        <v>163</v>
      </c>
    </row>
    <row r="54" spans="2:2" x14ac:dyDescent="0.35">
      <c r="B54" s="6" t="s">
        <v>164</v>
      </c>
    </row>
    <row r="55" spans="2:2" x14ac:dyDescent="0.35">
      <c r="B55" s="6" t="s">
        <v>165</v>
      </c>
    </row>
    <row r="57" spans="2:2" x14ac:dyDescent="0.35">
      <c r="B57" s="31" t="s">
        <v>166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225C-9B5B-254B-9C3D-7F2598D7AB86}">
  <sheetPr>
    <tabColor rgb="FF7030A0"/>
  </sheetPr>
  <dimension ref="A1:E44"/>
  <sheetViews>
    <sheetView workbookViewId="0">
      <selection activeCell="C37" sqref="C37"/>
    </sheetView>
  </sheetViews>
  <sheetFormatPr baseColWidth="10" defaultRowHeight="29" x14ac:dyDescent="0.35"/>
  <cols>
    <col min="1" max="1" width="3" style="6" customWidth="1"/>
    <col min="2" max="2" width="36.6640625" style="6" customWidth="1"/>
    <col min="3" max="5" width="46.6640625" style="6" customWidth="1"/>
    <col min="6" max="16384" width="10.83203125" style="6"/>
  </cols>
  <sheetData>
    <row r="1" spans="1:5" x14ac:dyDescent="0.35">
      <c r="A1" s="23" t="str">
        <f>HYPERLINK("#TOC!B5","← Back to TOC")</f>
        <v>← Back to TOC</v>
      </c>
    </row>
    <row r="2" spans="1:5" x14ac:dyDescent="0.35">
      <c r="B2" s="64" t="s">
        <v>168</v>
      </c>
    </row>
    <row r="4" spans="1:5" x14ac:dyDescent="0.35">
      <c r="B4" s="65" t="s">
        <v>169</v>
      </c>
    </row>
    <row r="6" spans="1:5" x14ac:dyDescent="0.35">
      <c r="B6" s="64" t="s">
        <v>170</v>
      </c>
      <c r="C6" s="64" t="s">
        <v>23</v>
      </c>
      <c r="D6" s="64" t="s">
        <v>171</v>
      </c>
      <c r="E6" s="64" t="s">
        <v>172</v>
      </c>
    </row>
    <row r="7" spans="1:5" x14ac:dyDescent="0.35">
      <c r="B7" s="66" t="s">
        <v>173</v>
      </c>
      <c r="C7" s="22" t="s">
        <v>174</v>
      </c>
      <c r="D7" s="22" t="s">
        <v>175</v>
      </c>
      <c r="E7" s="22" t="s">
        <v>176</v>
      </c>
    </row>
    <row r="8" spans="1:5" x14ac:dyDescent="0.35">
      <c r="B8" s="66" t="s">
        <v>177</v>
      </c>
      <c r="C8" s="22" t="s">
        <v>178</v>
      </c>
      <c r="D8" s="22" t="s">
        <v>179</v>
      </c>
      <c r="E8" s="22" t="s">
        <v>180</v>
      </c>
    </row>
    <row r="9" spans="1:5" x14ac:dyDescent="0.35">
      <c r="B9" s="66" t="s">
        <v>181</v>
      </c>
      <c r="C9" s="22" t="s">
        <v>182</v>
      </c>
      <c r="D9" s="22" t="s">
        <v>183</v>
      </c>
      <c r="E9" s="22" t="s">
        <v>184</v>
      </c>
    </row>
    <row r="10" spans="1:5" x14ac:dyDescent="0.35">
      <c r="B10" s="66" t="s">
        <v>185</v>
      </c>
      <c r="C10" s="22" t="s">
        <v>186</v>
      </c>
      <c r="D10" s="22" t="s">
        <v>186</v>
      </c>
      <c r="E10" s="22" t="s">
        <v>187</v>
      </c>
    </row>
    <row r="11" spans="1:5" x14ac:dyDescent="0.35">
      <c r="B11" s="66" t="s">
        <v>188</v>
      </c>
      <c r="C11" s="22" t="s">
        <v>189</v>
      </c>
      <c r="D11" s="22" t="s">
        <v>189</v>
      </c>
      <c r="E11" s="22" t="s">
        <v>186</v>
      </c>
    </row>
    <row r="12" spans="1:5" ht="31" x14ac:dyDescent="0.4">
      <c r="B12" s="66" t="s">
        <v>190</v>
      </c>
      <c r="C12" s="67" t="s">
        <v>191</v>
      </c>
      <c r="D12" s="67" t="s">
        <v>192</v>
      </c>
      <c r="E12" s="67" t="s">
        <v>193</v>
      </c>
    </row>
    <row r="13" spans="1:5" x14ac:dyDescent="0.35">
      <c r="B13" s="66" t="s">
        <v>194</v>
      </c>
      <c r="C13" s="22" t="s">
        <v>195</v>
      </c>
      <c r="D13" s="22" t="s">
        <v>196</v>
      </c>
      <c r="E13" s="22" t="s">
        <v>197</v>
      </c>
    </row>
    <row r="15" spans="1:5" x14ac:dyDescent="0.35">
      <c r="B15" s="68" t="s">
        <v>198</v>
      </c>
    </row>
    <row r="16" spans="1:5" x14ac:dyDescent="0.35">
      <c r="B16" s="66" t="s">
        <v>199</v>
      </c>
    </row>
    <row r="17" spans="2:4" x14ac:dyDescent="0.35">
      <c r="B17" s="6" t="s">
        <v>200</v>
      </c>
    </row>
    <row r="18" spans="2:4" x14ac:dyDescent="0.35">
      <c r="B18" s="6" t="s">
        <v>201</v>
      </c>
    </row>
    <row r="19" spans="2:4" x14ac:dyDescent="0.35">
      <c r="B19" s="6" t="s">
        <v>202</v>
      </c>
    </row>
    <row r="21" spans="2:4" x14ac:dyDescent="0.35">
      <c r="B21" s="65" t="s">
        <v>203</v>
      </c>
    </row>
    <row r="22" spans="2:4" x14ac:dyDescent="0.35">
      <c r="B22" s="64" t="s">
        <v>204</v>
      </c>
      <c r="C22" s="64" t="s">
        <v>205</v>
      </c>
      <c r="D22" s="64" t="s">
        <v>206</v>
      </c>
    </row>
    <row r="23" spans="2:4" x14ac:dyDescent="0.35">
      <c r="B23" s="66" t="s">
        <v>207</v>
      </c>
      <c r="C23" s="22" t="s">
        <v>208</v>
      </c>
      <c r="D23" s="22" t="s">
        <v>209</v>
      </c>
    </row>
    <row r="24" spans="2:4" x14ac:dyDescent="0.35">
      <c r="B24" s="66" t="s">
        <v>210</v>
      </c>
      <c r="C24" s="22" t="s">
        <v>211</v>
      </c>
      <c r="D24" s="22" t="s">
        <v>212</v>
      </c>
    </row>
    <row r="25" spans="2:4" x14ac:dyDescent="0.35">
      <c r="B25" s="66" t="s">
        <v>213</v>
      </c>
      <c r="C25" s="22" t="s">
        <v>214</v>
      </c>
      <c r="D25" s="22" t="s">
        <v>215</v>
      </c>
    </row>
    <row r="26" spans="2:4" x14ac:dyDescent="0.35">
      <c r="B26" s="66" t="s">
        <v>216</v>
      </c>
      <c r="C26" s="22" t="s">
        <v>217</v>
      </c>
      <c r="D26" s="22" t="s">
        <v>218</v>
      </c>
    </row>
    <row r="27" spans="2:4" x14ac:dyDescent="0.35">
      <c r="B27" s="66" t="s">
        <v>219</v>
      </c>
      <c r="C27" s="22" t="s">
        <v>220</v>
      </c>
      <c r="D27" s="22" t="s">
        <v>221</v>
      </c>
    </row>
    <row r="28" spans="2:4" x14ac:dyDescent="0.35">
      <c r="B28" s="66" t="s">
        <v>222</v>
      </c>
      <c r="C28" s="22" t="s">
        <v>223</v>
      </c>
      <c r="D28" s="22" t="s">
        <v>224</v>
      </c>
    </row>
    <row r="29" spans="2:4" x14ac:dyDescent="0.35">
      <c r="B29" s="66" t="s">
        <v>225</v>
      </c>
      <c r="C29" s="22" t="s">
        <v>226</v>
      </c>
      <c r="D29" s="22" t="s">
        <v>227</v>
      </c>
    </row>
    <row r="30" spans="2:4" x14ac:dyDescent="0.35">
      <c r="B30" s="66" t="s">
        <v>228</v>
      </c>
      <c r="C30" s="22" t="s">
        <v>229</v>
      </c>
      <c r="D30" s="22" t="s">
        <v>230</v>
      </c>
    </row>
    <row r="32" spans="2:4" x14ac:dyDescent="0.35">
      <c r="B32" s="68" t="s">
        <v>231</v>
      </c>
    </row>
    <row r="33" spans="2:3" x14ac:dyDescent="0.35">
      <c r="B33" s="64" t="s">
        <v>232</v>
      </c>
      <c r="C33" s="64" t="s">
        <v>233</v>
      </c>
    </row>
    <row r="34" spans="2:3" ht="31" x14ac:dyDescent="0.4">
      <c r="B34" s="22" t="s">
        <v>234</v>
      </c>
      <c r="C34" s="69" t="s">
        <v>235</v>
      </c>
    </row>
    <row r="35" spans="2:3" ht="31" x14ac:dyDescent="0.4">
      <c r="B35" s="22" t="s">
        <v>236</v>
      </c>
      <c r="C35" s="69" t="s">
        <v>237</v>
      </c>
    </row>
    <row r="36" spans="2:3" ht="31" x14ac:dyDescent="0.4">
      <c r="B36" s="22" t="s">
        <v>238</v>
      </c>
      <c r="C36" s="69" t="s">
        <v>239</v>
      </c>
    </row>
    <row r="37" spans="2:3" ht="31" x14ac:dyDescent="0.4">
      <c r="B37" s="22" t="s">
        <v>240</v>
      </c>
      <c r="C37" s="69" t="s">
        <v>241</v>
      </c>
    </row>
    <row r="38" spans="2:3" ht="31" x14ac:dyDescent="0.4">
      <c r="B38" s="22" t="s">
        <v>242</v>
      </c>
      <c r="C38" s="69" t="s">
        <v>243</v>
      </c>
    </row>
    <row r="39" spans="2:3" ht="31" x14ac:dyDescent="0.4">
      <c r="B39" s="22" t="s">
        <v>244</v>
      </c>
      <c r="C39" s="69" t="s">
        <v>245</v>
      </c>
    </row>
    <row r="40" spans="2:3" ht="31" x14ac:dyDescent="0.4">
      <c r="B40" s="22" t="s">
        <v>246</v>
      </c>
      <c r="C40" s="69" t="s">
        <v>247</v>
      </c>
    </row>
    <row r="41" spans="2:3" ht="31" x14ac:dyDescent="0.4">
      <c r="B41" s="22" t="s">
        <v>248</v>
      </c>
      <c r="C41" s="69" t="s">
        <v>249</v>
      </c>
    </row>
    <row r="42" spans="2:3" ht="31" x14ac:dyDescent="0.4">
      <c r="B42" s="22" t="s">
        <v>250</v>
      </c>
      <c r="C42" s="69" t="s">
        <v>251</v>
      </c>
    </row>
    <row r="44" spans="2:3" x14ac:dyDescent="0.35">
      <c r="B44" s="31" t="s">
        <v>252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586B-B018-5F4D-BA22-F8BB169CC205}">
  <sheetPr>
    <tabColor rgb="FF404040"/>
  </sheetPr>
  <dimension ref="A1:C95"/>
  <sheetViews>
    <sheetView topLeftCell="A38" workbookViewId="0">
      <selection activeCell="E42" sqref="E42"/>
    </sheetView>
  </sheetViews>
  <sheetFormatPr baseColWidth="10" defaultColWidth="21.1640625" defaultRowHeight="29" x14ac:dyDescent="0.35"/>
  <cols>
    <col min="1" max="1" width="3" style="6" customWidth="1"/>
    <col min="2" max="2" width="36.6640625" style="6" customWidth="1"/>
    <col min="3" max="3" width="101.5" style="6" customWidth="1"/>
    <col min="4" max="16384" width="21.1640625" style="6"/>
  </cols>
  <sheetData>
    <row r="1" spans="1:3" x14ac:dyDescent="0.35">
      <c r="A1" s="23" t="str">
        <f>HYPERLINK("#TOC!B5","← Back to TOC")</f>
        <v>← Back to TOC</v>
      </c>
    </row>
    <row r="2" spans="1:3" x14ac:dyDescent="0.35">
      <c r="B2" s="89" t="s">
        <v>254</v>
      </c>
      <c r="C2" s="89"/>
    </row>
    <row r="3" spans="1:3" ht="29" customHeight="1" x14ac:dyDescent="0.35">
      <c r="B3" s="88" t="s">
        <v>255</v>
      </c>
      <c r="C3" s="88"/>
    </row>
    <row r="5" spans="1:3" ht="29" customHeight="1" x14ac:dyDescent="0.35">
      <c r="B5" s="87" t="s">
        <v>256</v>
      </c>
      <c r="C5" s="87"/>
    </row>
    <row r="6" spans="1:3" ht="57" customHeight="1" x14ac:dyDescent="0.35">
      <c r="B6" s="73" t="s">
        <v>257</v>
      </c>
      <c r="C6" s="74" t="s">
        <v>258</v>
      </c>
    </row>
    <row r="7" spans="1:3" ht="60" x14ac:dyDescent="0.35">
      <c r="B7" s="73" t="s">
        <v>232</v>
      </c>
      <c r="C7" s="74" t="s">
        <v>259</v>
      </c>
    </row>
    <row r="8" spans="1:3" ht="90" x14ac:dyDescent="0.35">
      <c r="B8" s="73" t="s">
        <v>260</v>
      </c>
      <c r="C8" s="74" t="s">
        <v>261</v>
      </c>
    </row>
    <row r="9" spans="1:3" ht="60" x14ac:dyDescent="0.35">
      <c r="B9" s="73" t="s">
        <v>262</v>
      </c>
      <c r="C9" s="74" t="s">
        <v>263</v>
      </c>
    </row>
    <row r="10" spans="1:3" ht="90" x14ac:dyDescent="0.35">
      <c r="B10" s="73" t="s">
        <v>264</v>
      </c>
      <c r="C10" s="74" t="s">
        <v>265</v>
      </c>
    </row>
    <row r="11" spans="1:3" x14ac:dyDescent="0.35">
      <c r="B11" s="74"/>
      <c r="C11" s="74"/>
    </row>
    <row r="12" spans="1:3" ht="30" customHeight="1" x14ac:dyDescent="0.35">
      <c r="B12" s="140" t="s">
        <v>50</v>
      </c>
      <c r="C12" s="140"/>
    </row>
    <row r="13" spans="1:3" ht="60" x14ac:dyDescent="0.35">
      <c r="B13" s="73" t="s">
        <v>266</v>
      </c>
      <c r="C13" s="74" t="s">
        <v>267</v>
      </c>
    </row>
    <row r="14" spans="1:3" ht="54" customHeight="1" x14ac:dyDescent="0.35">
      <c r="B14" s="73" t="s">
        <v>268</v>
      </c>
      <c r="C14" s="75" t="s">
        <v>269</v>
      </c>
    </row>
    <row r="15" spans="1:3" ht="32" x14ac:dyDescent="0.35">
      <c r="B15" s="73" t="s">
        <v>270</v>
      </c>
      <c r="C15" s="75" t="s">
        <v>271</v>
      </c>
    </row>
    <row r="16" spans="1:3" ht="32" x14ac:dyDescent="0.35">
      <c r="B16" s="73" t="s">
        <v>272</v>
      </c>
      <c r="C16" s="76" t="s">
        <v>273</v>
      </c>
    </row>
    <row r="17" spans="2:3" ht="98" customHeight="1" x14ac:dyDescent="0.35">
      <c r="B17" s="73" t="s">
        <v>76</v>
      </c>
      <c r="C17" s="74" t="s">
        <v>274</v>
      </c>
    </row>
    <row r="18" spans="2:3" ht="60" x14ac:dyDescent="0.35">
      <c r="B18" s="73" t="s">
        <v>181</v>
      </c>
      <c r="C18" s="74" t="s">
        <v>275</v>
      </c>
    </row>
    <row r="19" spans="2:3" ht="90" x14ac:dyDescent="0.35">
      <c r="B19" s="73" t="s">
        <v>276</v>
      </c>
      <c r="C19" s="90" t="s">
        <v>277</v>
      </c>
    </row>
    <row r="20" spans="2:3" x14ac:dyDescent="0.35">
      <c r="B20" s="74"/>
      <c r="C20" s="74"/>
    </row>
    <row r="21" spans="2:3" ht="60" customHeight="1" x14ac:dyDescent="0.35">
      <c r="B21" s="139" t="s">
        <v>278</v>
      </c>
      <c r="C21" s="139"/>
    </row>
    <row r="22" spans="2:3" ht="60" x14ac:dyDescent="0.35">
      <c r="B22" s="73" t="s">
        <v>266</v>
      </c>
      <c r="C22" s="74" t="s">
        <v>279</v>
      </c>
    </row>
    <row r="23" spans="2:3" ht="64" x14ac:dyDescent="0.35">
      <c r="B23" s="73" t="s">
        <v>233</v>
      </c>
      <c r="C23" s="77" t="s">
        <v>280</v>
      </c>
    </row>
    <row r="24" spans="2:3" ht="32" x14ac:dyDescent="0.35">
      <c r="B24" s="73" t="s">
        <v>272</v>
      </c>
      <c r="C24" s="78" t="s">
        <v>281</v>
      </c>
    </row>
    <row r="25" spans="2:3" ht="30" x14ac:dyDescent="0.35">
      <c r="B25" s="73" t="s">
        <v>177</v>
      </c>
      <c r="C25" s="74" t="s">
        <v>282</v>
      </c>
    </row>
    <row r="26" spans="2:3" ht="60" x14ac:dyDescent="0.35">
      <c r="B26" s="73" t="s">
        <v>76</v>
      </c>
      <c r="C26" s="74" t="s">
        <v>283</v>
      </c>
    </row>
    <row r="27" spans="2:3" ht="60" x14ac:dyDescent="0.35">
      <c r="B27" s="73" t="s">
        <v>284</v>
      </c>
      <c r="C27" s="74" t="s">
        <v>285</v>
      </c>
    </row>
    <row r="28" spans="2:3" ht="60" x14ac:dyDescent="0.35">
      <c r="B28" s="73" t="s">
        <v>276</v>
      </c>
      <c r="C28" s="74" t="s">
        <v>286</v>
      </c>
    </row>
    <row r="29" spans="2:3" x14ac:dyDescent="0.35">
      <c r="B29" s="74"/>
      <c r="C29" s="74"/>
    </row>
    <row r="30" spans="2:3" ht="60" customHeight="1" x14ac:dyDescent="0.35">
      <c r="B30" s="139" t="s">
        <v>287</v>
      </c>
      <c r="C30" s="139"/>
    </row>
    <row r="31" spans="2:3" ht="90" x14ac:dyDescent="0.35">
      <c r="B31" s="73" t="s">
        <v>266</v>
      </c>
      <c r="C31" s="74" t="s">
        <v>363</v>
      </c>
    </row>
    <row r="32" spans="2:3" ht="64" x14ac:dyDescent="0.35">
      <c r="B32" s="73" t="s">
        <v>288</v>
      </c>
      <c r="C32" s="77" t="s">
        <v>289</v>
      </c>
    </row>
    <row r="33" spans="2:3" ht="64" x14ac:dyDescent="0.35">
      <c r="B33" s="73" t="s">
        <v>290</v>
      </c>
      <c r="C33" s="77" t="s">
        <v>291</v>
      </c>
    </row>
    <row r="34" spans="2:3" ht="64" x14ac:dyDescent="0.35">
      <c r="B34" s="73" t="s">
        <v>272</v>
      </c>
      <c r="C34" s="77" t="s">
        <v>292</v>
      </c>
    </row>
    <row r="35" spans="2:3" ht="64" x14ac:dyDescent="0.35">
      <c r="B35" s="73" t="s">
        <v>177</v>
      </c>
      <c r="C35" s="77" t="s">
        <v>293</v>
      </c>
    </row>
    <row r="36" spans="2:3" ht="96" x14ac:dyDescent="0.35">
      <c r="B36" s="73" t="s">
        <v>294</v>
      </c>
      <c r="C36" s="77" t="s">
        <v>295</v>
      </c>
    </row>
    <row r="37" spans="2:3" ht="128" x14ac:dyDescent="0.35">
      <c r="B37" s="73" t="s">
        <v>276</v>
      </c>
      <c r="C37" s="77" t="s">
        <v>296</v>
      </c>
    </row>
    <row r="38" spans="2:3" x14ac:dyDescent="0.35">
      <c r="B38" s="74"/>
      <c r="C38" s="74"/>
    </row>
    <row r="39" spans="2:3" ht="60" customHeight="1" x14ac:dyDescent="0.35">
      <c r="B39" s="139" t="s">
        <v>297</v>
      </c>
      <c r="C39" s="139"/>
    </row>
    <row r="40" spans="2:3" ht="96" x14ac:dyDescent="0.35">
      <c r="B40" s="73" t="s">
        <v>257</v>
      </c>
      <c r="C40" s="77" t="s">
        <v>364</v>
      </c>
    </row>
    <row r="41" spans="2:3" ht="96" x14ac:dyDescent="0.35">
      <c r="B41" s="73" t="s">
        <v>298</v>
      </c>
      <c r="C41" s="77" t="s">
        <v>299</v>
      </c>
    </row>
    <row r="42" spans="2:3" ht="96" x14ac:dyDescent="0.35">
      <c r="B42" s="73" t="s">
        <v>300</v>
      </c>
      <c r="C42" s="77" t="s">
        <v>301</v>
      </c>
    </row>
    <row r="43" spans="2:3" ht="64" x14ac:dyDescent="0.35">
      <c r="B43" s="73" t="s">
        <v>302</v>
      </c>
      <c r="C43" s="77" t="s">
        <v>303</v>
      </c>
    </row>
    <row r="44" spans="2:3" ht="128" x14ac:dyDescent="0.35">
      <c r="B44" s="73" t="s">
        <v>304</v>
      </c>
      <c r="C44" s="77" t="s">
        <v>305</v>
      </c>
    </row>
    <row r="45" spans="2:3" x14ac:dyDescent="0.35">
      <c r="B45" s="74"/>
      <c r="C45" s="74"/>
    </row>
    <row r="46" spans="2:3" ht="90" customHeight="1" x14ac:dyDescent="0.35">
      <c r="B46" s="142" t="s">
        <v>306</v>
      </c>
      <c r="C46" s="142"/>
    </row>
    <row r="47" spans="2:3" ht="32" x14ac:dyDescent="0.35">
      <c r="B47" s="79" t="s">
        <v>307</v>
      </c>
      <c r="C47" s="80" t="s">
        <v>236</v>
      </c>
    </row>
    <row r="48" spans="2:3" ht="30" x14ac:dyDescent="0.35">
      <c r="B48" s="81" t="s">
        <v>308</v>
      </c>
      <c r="C48" s="82" t="s">
        <v>309</v>
      </c>
    </row>
    <row r="49" spans="2:3" ht="30" x14ac:dyDescent="0.35">
      <c r="B49" s="81" t="s">
        <v>310</v>
      </c>
      <c r="C49" s="82" t="s">
        <v>311</v>
      </c>
    </row>
    <row r="50" spans="2:3" ht="30" x14ac:dyDescent="0.35">
      <c r="B50" s="81" t="s">
        <v>312</v>
      </c>
      <c r="C50" s="82" t="s">
        <v>313</v>
      </c>
    </row>
    <row r="51" spans="2:3" ht="30" x14ac:dyDescent="0.35">
      <c r="B51" s="81" t="s">
        <v>314</v>
      </c>
      <c r="C51" s="82" t="s">
        <v>315</v>
      </c>
    </row>
    <row r="52" spans="2:3" ht="60" x14ac:dyDescent="0.35">
      <c r="B52" s="81" t="s">
        <v>316</v>
      </c>
      <c r="C52" s="82" t="s">
        <v>317</v>
      </c>
    </row>
    <row r="53" spans="2:3" ht="60" x14ac:dyDescent="0.35">
      <c r="B53" s="81" t="s">
        <v>318</v>
      </c>
      <c r="C53" s="82" t="s">
        <v>319</v>
      </c>
    </row>
    <row r="54" spans="2:3" ht="32" x14ac:dyDescent="0.35">
      <c r="B54" s="81" t="s">
        <v>190</v>
      </c>
      <c r="C54" s="83" t="s">
        <v>320</v>
      </c>
    </row>
    <row r="55" spans="2:3" ht="30" x14ac:dyDescent="0.35">
      <c r="B55" s="81" t="s">
        <v>321</v>
      </c>
      <c r="C55" s="82" t="s">
        <v>322</v>
      </c>
    </row>
    <row r="56" spans="2:3" x14ac:dyDescent="0.35">
      <c r="B56" s="74"/>
      <c r="C56" s="74"/>
    </row>
    <row r="57" spans="2:3" ht="60" customHeight="1" x14ac:dyDescent="0.35">
      <c r="B57" s="143" t="s">
        <v>323</v>
      </c>
      <c r="C57" s="143"/>
    </row>
    <row r="58" spans="2:3" ht="60" x14ac:dyDescent="0.35">
      <c r="B58" s="81" t="s">
        <v>257</v>
      </c>
      <c r="C58" s="74" t="s">
        <v>324</v>
      </c>
    </row>
    <row r="59" spans="2:3" ht="64" x14ac:dyDescent="0.35">
      <c r="B59" s="81" t="s">
        <v>233</v>
      </c>
      <c r="C59" s="84" t="s">
        <v>325</v>
      </c>
    </row>
    <row r="60" spans="2:3" ht="60" x14ac:dyDescent="0.35">
      <c r="B60" s="81" t="s">
        <v>326</v>
      </c>
      <c r="C60" s="84" t="s">
        <v>327</v>
      </c>
    </row>
    <row r="61" spans="2:3" ht="32" x14ac:dyDescent="0.35">
      <c r="B61" s="81" t="s">
        <v>272</v>
      </c>
      <c r="C61" s="85" t="s">
        <v>328</v>
      </c>
    </row>
    <row r="62" spans="2:3" ht="60" x14ac:dyDescent="0.35">
      <c r="B62" s="81" t="s">
        <v>177</v>
      </c>
      <c r="C62" s="74" t="s">
        <v>365</v>
      </c>
    </row>
    <row r="63" spans="2:3" ht="84" customHeight="1" x14ac:dyDescent="0.35">
      <c r="B63" s="81" t="s">
        <v>76</v>
      </c>
      <c r="C63" s="91" t="s">
        <v>329</v>
      </c>
    </row>
    <row r="64" spans="2:3" ht="90" x14ac:dyDescent="0.35">
      <c r="B64" s="81" t="s">
        <v>330</v>
      </c>
      <c r="C64" s="74" t="s">
        <v>366</v>
      </c>
    </row>
    <row r="65" spans="2:3" x14ac:dyDescent="0.35">
      <c r="B65" s="74"/>
      <c r="C65" s="74"/>
    </row>
    <row r="66" spans="2:3" ht="40" customHeight="1" x14ac:dyDescent="0.35">
      <c r="B66" s="143" t="s">
        <v>331</v>
      </c>
      <c r="C66" s="143"/>
    </row>
    <row r="67" spans="2:3" ht="90" x14ac:dyDescent="0.35">
      <c r="B67" s="73" t="s">
        <v>257</v>
      </c>
      <c r="C67" s="74" t="s">
        <v>332</v>
      </c>
    </row>
    <row r="68" spans="2:3" ht="32" x14ac:dyDescent="0.35">
      <c r="B68" s="73" t="s">
        <v>333</v>
      </c>
      <c r="C68" s="84" t="s">
        <v>334</v>
      </c>
    </row>
    <row r="69" spans="2:3" ht="64" x14ac:dyDescent="0.35">
      <c r="B69" s="73" t="s">
        <v>335</v>
      </c>
      <c r="C69" s="84" t="s">
        <v>336</v>
      </c>
    </row>
    <row r="70" spans="2:3" ht="32" x14ac:dyDescent="0.35">
      <c r="B70" s="73" t="s">
        <v>337</v>
      </c>
      <c r="C70" s="84" t="s">
        <v>134</v>
      </c>
    </row>
    <row r="71" spans="2:3" ht="73" customHeight="1" x14ac:dyDescent="0.35">
      <c r="B71" s="73" t="s">
        <v>338</v>
      </c>
      <c r="C71" s="74" t="s">
        <v>339</v>
      </c>
    </row>
    <row r="72" spans="2:3" ht="96" customHeight="1" x14ac:dyDescent="0.35">
      <c r="B72" s="73" t="s">
        <v>340</v>
      </c>
      <c r="C72" s="74" t="s">
        <v>341</v>
      </c>
    </row>
    <row r="73" spans="2:3" ht="96" x14ac:dyDescent="0.35">
      <c r="B73" s="73" t="s">
        <v>272</v>
      </c>
      <c r="C73" s="92" t="s">
        <v>342</v>
      </c>
    </row>
    <row r="74" spans="2:3" ht="56" customHeight="1" x14ac:dyDescent="0.35">
      <c r="B74" s="73" t="s">
        <v>167</v>
      </c>
      <c r="C74" s="74" t="s">
        <v>343</v>
      </c>
    </row>
    <row r="75" spans="2:3" ht="64" x14ac:dyDescent="0.35">
      <c r="B75" s="73" t="s">
        <v>248</v>
      </c>
      <c r="C75" s="84" t="s">
        <v>344</v>
      </c>
    </row>
    <row r="76" spans="2:3" ht="90" x14ac:dyDescent="0.35">
      <c r="B76" s="73" t="s">
        <v>345</v>
      </c>
      <c r="C76" s="74" t="s">
        <v>346</v>
      </c>
    </row>
    <row r="77" spans="2:3" ht="90" x14ac:dyDescent="0.35">
      <c r="B77" s="73" t="s">
        <v>276</v>
      </c>
      <c r="C77" s="74" t="s">
        <v>347</v>
      </c>
    </row>
    <row r="78" spans="2:3" x14ac:dyDescent="0.35">
      <c r="B78" s="74"/>
      <c r="C78" s="74"/>
    </row>
    <row r="79" spans="2:3" ht="60" customHeight="1" x14ac:dyDescent="0.35">
      <c r="B79" s="142" t="s">
        <v>348</v>
      </c>
      <c r="C79" s="142"/>
    </row>
    <row r="80" spans="2:3" ht="30" x14ac:dyDescent="0.35">
      <c r="B80" s="79" t="s">
        <v>349</v>
      </c>
      <c r="C80" s="79" t="s">
        <v>350</v>
      </c>
    </row>
    <row r="81" spans="2:3" ht="30" x14ac:dyDescent="0.35">
      <c r="B81" s="86">
        <v>1</v>
      </c>
      <c r="C81" s="82" t="s">
        <v>351</v>
      </c>
    </row>
    <row r="82" spans="2:3" ht="30" x14ac:dyDescent="0.35">
      <c r="B82" s="86">
        <v>2</v>
      </c>
      <c r="C82" s="82" t="s">
        <v>352</v>
      </c>
    </row>
    <row r="83" spans="2:3" ht="30" x14ac:dyDescent="0.35">
      <c r="B83" s="86">
        <v>3</v>
      </c>
      <c r="C83" s="82" t="s">
        <v>353</v>
      </c>
    </row>
    <row r="84" spans="2:3" ht="30" x14ac:dyDescent="0.35">
      <c r="B84" s="86">
        <v>4</v>
      </c>
      <c r="C84" s="82" t="s">
        <v>354</v>
      </c>
    </row>
    <row r="85" spans="2:3" x14ac:dyDescent="0.35">
      <c r="B85" s="74"/>
      <c r="C85" s="74"/>
    </row>
    <row r="86" spans="2:3" ht="90" customHeight="1" x14ac:dyDescent="0.35">
      <c r="B86" s="142" t="s">
        <v>355</v>
      </c>
      <c r="C86" s="142"/>
    </row>
    <row r="87" spans="2:3" x14ac:dyDescent="0.35">
      <c r="B87" s="144" t="s">
        <v>356</v>
      </c>
      <c r="C87" s="144"/>
    </row>
    <row r="88" spans="2:3" x14ac:dyDescent="0.35">
      <c r="B88" s="144" t="s">
        <v>357</v>
      </c>
      <c r="C88" s="144"/>
    </row>
    <row r="89" spans="2:3" x14ac:dyDescent="0.35">
      <c r="B89" s="144" t="s">
        <v>358</v>
      </c>
      <c r="C89" s="144"/>
    </row>
    <row r="90" spans="2:3" x14ac:dyDescent="0.35">
      <c r="B90" s="144" t="s">
        <v>359</v>
      </c>
      <c r="C90" s="144"/>
    </row>
    <row r="91" spans="2:3" x14ac:dyDescent="0.35">
      <c r="B91" s="144" t="s">
        <v>360</v>
      </c>
      <c r="C91" s="144"/>
    </row>
    <row r="92" spans="2:3" x14ac:dyDescent="0.35">
      <c r="B92" s="144" t="s">
        <v>361</v>
      </c>
      <c r="C92" s="144"/>
    </row>
    <row r="93" spans="2:3" x14ac:dyDescent="0.35">
      <c r="B93" s="74"/>
      <c r="C93" s="74"/>
    </row>
    <row r="94" spans="2:3" ht="74" customHeight="1" x14ac:dyDescent="0.35">
      <c r="B94" s="141" t="s">
        <v>362</v>
      </c>
      <c r="C94" s="141"/>
    </row>
    <row r="95" spans="2:3" x14ac:dyDescent="0.35">
      <c r="B95" s="74"/>
      <c r="C95" s="74"/>
    </row>
  </sheetData>
  <mergeCells count="16">
    <mergeCell ref="B30:C30"/>
    <mergeCell ref="B21:C21"/>
    <mergeCell ref="B12:C12"/>
    <mergeCell ref="B94:C94"/>
    <mergeCell ref="B39:C39"/>
    <mergeCell ref="B46:C46"/>
    <mergeCell ref="B57:C57"/>
    <mergeCell ref="B66:C66"/>
    <mergeCell ref="B86:C86"/>
    <mergeCell ref="B87:C87"/>
    <mergeCell ref="B79:C79"/>
    <mergeCell ref="B88:C88"/>
    <mergeCell ref="B89:C89"/>
    <mergeCell ref="B90:C90"/>
    <mergeCell ref="B91:C91"/>
    <mergeCell ref="B92:C9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70CC-E668-8D49-94A0-B54CC2035B7A}">
  <sheetPr>
    <tabColor rgb="FF1F6091"/>
  </sheetPr>
  <dimension ref="A1:I85"/>
  <sheetViews>
    <sheetView tabSelected="1" topLeftCell="A33" workbookViewId="0">
      <selection activeCell="F52" sqref="F52"/>
    </sheetView>
  </sheetViews>
  <sheetFormatPr baseColWidth="10" defaultRowHeight="29" x14ac:dyDescent="0.35"/>
  <cols>
    <col min="1" max="1" width="3" style="6" customWidth="1"/>
    <col min="2" max="2" width="48.33203125" style="6" customWidth="1"/>
    <col min="3" max="4" width="23.33203125" style="6" customWidth="1"/>
    <col min="5" max="6" width="20" style="6" customWidth="1"/>
    <col min="7" max="16384" width="10.83203125" style="6"/>
  </cols>
  <sheetData>
    <row r="1" spans="1:9" x14ac:dyDescent="0.35">
      <c r="A1" s="23" t="str">
        <f>HYPERLINK("#TOC!B5","← Back to TOC")</f>
        <v>← Back to TOC</v>
      </c>
    </row>
    <row r="2" spans="1:9" x14ac:dyDescent="0.35">
      <c r="B2" s="145" t="s">
        <v>369</v>
      </c>
      <c r="C2" s="145"/>
      <c r="D2" s="145"/>
      <c r="E2" s="145"/>
      <c r="F2" s="145"/>
      <c r="G2" s="145"/>
      <c r="H2" s="145"/>
      <c r="I2" s="145"/>
    </row>
    <row r="3" spans="1:9" x14ac:dyDescent="0.35">
      <c r="B3" s="146" t="s">
        <v>370</v>
      </c>
      <c r="C3" s="146"/>
      <c r="D3" s="146"/>
      <c r="E3" s="146"/>
      <c r="F3" s="146"/>
      <c r="G3" s="146"/>
      <c r="H3" s="146"/>
      <c r="I3" s="146"/>
    </row>
    <row r="5" spans="1:9" x14ac:dyDescent="0.35">
      <c r="B5" s="100" t="s">
        <v>371</v>
      </c>
    </row>
    <row r="6" spans="1:9" x14ac:dyDescent="0.35">
      <c r="B6" s="6" t="s">
        <v>372</v>
      </c>
    </row>
    <row r="7" spans="1:9" x14ac:dyDescent="0.35">
      <c r="B7" s="6" t="s">
        <v>373</v>
      </c>
    </row>
    <row r="8" spans="1:9" x14ac:dyDescent="0.35">
      <c r="B8" s="6" t="s">
        <v>374</v>
      </c>
    </row>
    <row r="9" spans="1:9" x14ac:dyDescent="0.35">
      <c r="B9" s="6" t="s">
        <v>375</v>
      </c>
    </row>
    <row r="10" spans="1:9" x14ac:dyDescent="0.35">
      <c r="B10" s="6" t="s">
        <v>376</v>
      </c>
    </row>
    <row r="12" spans="1:9" x14ac:dyDescent="0.35">
      <c r="B12" s="100" t="s">
        <v>56</v>
      </c>
    </row>
    <row r="13" spans="1:9" ht="31" x14ac:dyDescent="0.4">
      <c r="B13" s="30" t="s">
        <v>377</v>
      </c>
      <c r="C13" s="101" t="s">
        <v>378</v>
      </c>
    </row>
    <row r="14" spans="1:9" ht="31" x14ac:dyDescent="0.4">
      <c r="B14" s="30" t="s">
        <v>379</v>
      </c>
      <c r="C14" s="101" t="s">
        <v>380</v>
      </c>
    </row>
    <row r="15" spans="1:9" ht="31" x14ac:dyDescent="0.4">
      <c r="B15" s="30" t="s">
        <v>381</v>
      </c>
      <c r="C15" s="101" t="s">
        <v>382</v>
      </c>
    </row>
    <row r="16" spans="1:9" ht="31" x14ac:dyDescent="0.4">
      <c r="B16" s="30" t="s">
        <v>383</v>
      </c>
      <c r="C16" s="102" t="s">
        <v>384</v>
      </c>
    </row>
    <row r="18" spans="2:6" x14ac:dyDescent="0.35">
      <c r="B18" s="100" t="s">
        <v>385</v>
      </c>
    </row>
    <row r="19" spans="2:6" x14ac:dyDescent="0.35">
      <c r="B19" s="103" t="s">
        <v>386</v>
      </c>
    </row>
    <row r="21" spans="2:6" ht="60" x14ac:dyDescent="0.35">
      <c r="B21" s="99" t="s">
        <v>387</v>
      </c>
      <c r="C21" s="99" t="s">
        <v>388</v>
      </c>
      <c r="D21" s="99" t="s">
        <v>389</v>
      </c>
      <c r="E21" s="99" t="s">
        <v>390</v>
      </c>
      <c r="F21" s="99" t="s">
        <v>391</v>
      </c>
    </row>
    <row r="22" spans="2:6" x14ac:dyDescent="0.35">
      <c r="B22" s="104">
        <v>46045</v>
      </c>
      <c r="C22" s="38">
        <v>4000</v>
      </c>
      <c r="D22" s="38">
        <v>100</v>
      </c>
      <c r="E22" s="105" t="s">
        <v>392</v>
      </c>
      <c r="F22" s="105" t="s">
        <v>392</v>
      </c>
    </row>
    <row r="23" spans="2:6" x14ac:dyDescent="0.35">
      <c r="B23" s="104">
        <v>46076</v>
      </c>
      <c r="C23" s="38">
        <v>4080</v>
      </c>
      <c r="D23" s="38">
        <v>103</v>
      </c>
      <c r="E23" s="106">
        <f>(C23-C22)/C22</f>
        <v>0.02</v>
      </c>
      <c r="F23" s="106">
        <f>(D23-D22)/D22</f>
        <v>0.03</v>
      </c>
    </row>
    <row r="24" spans="2:6" x14ac:dyDescent="0.35">
      <c r="B24" s="104">
        <v>46104</v>
      </c>
      <c r="C24" s="38">
        <v>4020</v>
      </c>
      <c r="D24" s="38">
        <v>99</v>
      </c>
      <c r="E24" s="106">
        <f t="shared" ref="E24:E45" si="0">(C24-C23)/C23</f>
        <v>-1.4705882352941176E-2</v>
      </c>
      <c r="F24" s="106">
        <f t="shared" ref="F24:F45" si="1">(D24-D23)/D23</f>
        <v>-3.8834951456310676E-2</v>
      </c>
    </row>
    <row r="25" spans="2:6" x14ac:dyDescent="0.35">
      <c r="B25" s="104">
        <v>46135</v>
      </c>
      <c r="C25" s="38">
        <v>4150</v>
      </c>
      <c r="D25" s="38">
        <v>108</v>
      </c>
      <c r="E25" s="106">
        <f t="shared" si="0"/>
        <v>3.2338308457711441E-2</v>
      </c>
      <c r="F25" s="106">
        <f t="shared" si="1"/>
        <v>9.0909090909090912E-2</v>
      </c>
    </row>
    <row r="26" spans="2:6" x14ac:dyDescent="0.35">
      <c r="B26" s="104">
        <v>46165</v>
      </c>
      <c r="C26" s="38">
        <v>4220</v>
      </c>
      <c r="D26" s="38">
        <v>114</v>
      </c>
      <c r="E26" s="106">
        <f t="shared" si="0"/>
        <v>1.6867469879518072E-2</v>
      </c>
      <c r="F26" s="106">
        <f t="shared" si="1"/>
        <v>5.5555555555555552E-2</v>
      </c>
    </row>
    <row r="27" spans="2:6" x14ac:dyDescent="0.35">
      <c r="B27" s="104">
        <v>46196</v>
      </c>
      <c r="C27" s="38">
        <v>4180</v>
      </c>
      <c r="D27" s="38">
        <v>110</v>
      </c>
      <c r="E27" s="106">
        <f t="shared" si="0"/>
        <v>-9.4786729857819912E-3</v>
      </c>
      <c r="F27" s="106">
        <f t="shared" si="1"/>
        <v>-3.5087719298245612E-2</v>
      </c>
    </row>
    <row r="28" spans="2:6" x14ac:dyDescent="0.35">
      <c r="B28" s="104">
        <v>46226</v>
      </c>
      <c r="C28" s="38">
        <v>4310</v>
      </c>
      <c r="D28" s="38">
        <v>119</v>
      </c>
      <c r="E28" s="106">
        <f t="shared" si="0"/>
        <v>3.1100478468899521E-2</v>
      </c>
      <c r="F28" s="106">
        <f t="shared" si="1"/>
        <v>8.1818181818181818E-2</v>
      </c>
    </row>
    <row r="29" spans="2:6" x14ac:dyDescent="0.35">
      <c r="B29" s="104">
        <v>46257</v>
      </c>
      <c r="C29" s="38">
        <v>4250</v>
      </c>
      <c r="D29" s="38">
        <v>114</v>
      </c>
      <c r="E29" s="106">
        <f t="shared" si="0"/>
        <v>-1.3921113689095127E-2</v>
      </c>
      <c r="F29" s="106">
        <f t="shared" si="1"/>
        <v>-4.2016806722689079E-2</v>
      </c>
    </row>
    <row r="30" spans="2:6" x14ac:dyDescent="0.35">
      <c r="B30" s="104">
        <v>46288</v>
      </c>
      <c r="C30" s="38">
        <v>4180</v>
      </c>
      <c r="D30" s="38">
        <v>109</v>
      </c>
      <c r="E30" s="106">
        <f t="shared" si="0"/>
        <v>-1.6470588235294119E-2</v>
      </c>
      <c r="F30" s="106">
        <f t="shared" si="1"/>
        <v>-4.3859649122807015E-2</v>
      </c>
    </row>
    <row r="31" spans="2:6" x14ac:dyDescent="0.35">
      <c r="B31" s="104">
        <v>46318</v>
      </c>
      <c r="C31" s="38">
        <v>4090</v>
      </c>
      <c r="D31" s="38">
        <v>103</v>
      </c>
      <c r="E31" s="106">
        <f t="shared" si="0"/>
        <v>-2.1531100478468901E-2</v>
      </c>
      <c r="F31" s="106">
        <f t="shared" si="1"/>
        <v>-5.5045871559633031E-2</v>
      </c>
    </row>
    <row r="32" spans="2:6" x14ac:dyDescent="0.35">
      <c r="B32" s="104">
        <v>46349</v>
      </c>
      <c r="C32" s="38">
        <v>4280</v>
      </c>
      <c r="D32" s="38">
        <v>115</v>
      </c>
      <c r="E32" s="106">
        <f t="shared" si="0"/>
        <v>4.6454767726161368E-2</v>
      </c>
      <c r="F32" s="106">
        <f t="shared" si="1"/>
        <v>0.11650485436893204</v>
      </c>
    </row>
    <row r="33" spans="2:6" x14ac:dyDescent="0.35">
      <c r="B33" s="104">
        <v>46379</v>
      </c>
      <c r="C33" s="38">
        <v>4400</v>
      </c>
      <c r="D33" s="38">
        <v>123</v>
      </c>
      <c r="E33" s="106">
        <f t="shared" si="0"/>
        <v>2.8037383177570093E-2</v>
      </c>
      <c r="F33" s="106">
        <f t="shared" si="1"/>
        <v>6.9565217391304349E-2</v>
      </c>
    </row>
    <row r="34" spans="2:6" x14ac:dyDescent="0.35">
      <c r="B34" s="104">
        <v>46046</v>
      </c>
      <c r="C34" s="38">
        <v>4480</v>
      </c>
      <c r="D34" s="38">
        <v>128</v>
      </c>
      <c r="E34" s="106">
        <f t="shared" si="0"/>
        <v>1.8181818181818181E-2</v>
      </c>
      <c r="F34" s="106">
        <f t="shared" si="1"/>
        <v>4.065040650406504E-2</v>
      </c>
    </row>
    <row r="35" spans="2:6" x14ac:dyDescent="0.35">
      <c r="B35" s="104">
        <v>46077</v>
      </c>
      <c r="C35" s="38">
        <v>4520</v>
      </c>
      <c r="D35" s="38">
        <v>131</v>
      </c>
      <c r="E35" s="106">
        <f t="shared" si="0"/>
        <v>8.9285714285714281E-3</v>
      </c>
      <c r="F35" s="106">
        <f t="shared" si="1"/>
        <v>2.34375E-2</v>
      </c>
    </row>
    <row r="36" spans="2:6" x14ac:dyDescent="0.35">
      <c r="B36" s="104">
        <v>46105</v>
      </c>
      <c r="C36" s="38">
        <v>4600</v>
      </c>
      <c r="D36" s="38">
        <v>137</v>
      </c>
      <c r="E36" s="106">
        <f t="shared" si="0"/>
        <v>1.7699115044247787E-2</v>
      </c>
      <c r="F36" s="106">
        <f t="shared" si="1"/>
        <v>4.5801526717557252E-2</v>
      </c>
    </row>
    <row r="37" spans="2:6" x14ac:dyDescent="0.35">
      <c r="B37" s="104">
        <v>46136</v>
      </c>
      <c r="C37" s="38">
        <v>4540</v>
      </c>
      <c r="D37" s="38">
        <v>131</v>
      </c>
      <c r="E37" s="106">
        <f t="shared" si="0"/>
        <v>-1.3043478260869565E-2</v>
      </c>
      <c r="F37" s="106">
        <f t="shared" si="1"/>
        <v>-4.3795620437956206E-2</v>
      </c>
    </row>
    <row r="38" spans="2:6" x14ac:dyDescent="0.35">
      <c r="B38" s="104">
        <v>46166</v>
      </c>
      <c r="C38" s="38">
        <v>4660</v>
      </c>
      <c r="D38" s="38">
        <v>140</v>
      </c>
      <c r="E38" s="106">
        <f t="shared" si="0"/>
        <v>2.643171806167401E-2</v>
      </c>
      <c r="F38" s="106">
        <f t="shared" si="1"/>
        <v>6.8702290076335881E-2</v>
      </c>
    </row>
    <row r="39" spans="2:6" x14ac:dyDescent="0.35">
      <c r="B39" s="104">
        <v>46197</v>
      </c>
      <c r="C39" s="38">
        <v>4720</v>
      </c>
      <c r="D39" s="38">
        <v>145</v>
      </c>
      <c r="E39" s="106">
        <f t="shared" si="0"/>
        <v>1.2875536480686695E-2</v>
      </c>
      <c r="F39" s="106">
        <f t="shared" si="1"/>
        <v>3.5714285714285712E-2</v>
      </c>
    </row>
    <row r="40" spans="2:6" x14ac:dyDescent="0.35">
      <c r="B40" s="104">
        <v>46227</v>
      </c>
      <c r="C40" s="38">
        <v>4800</v>
      </c>
      <c r="D40" s="38">
        <v>152</v>
      </c>
      <c r="E40" s="106">
        <f t="shared" si="0"/>
        <v>1.6949152542372881E-2</v>
      </c>
      <c r="F40" s="106">
        <f t="shared" si="1"/>
        <v>4.8275862068965517E-2</v>
      </c>
    </row>
    <row r="41" spans="2:6" x14ac:dyDescent="0.35">
      <c r="B41" s="104">
        <v>46258</v>
      </c>
      <c r="C41" s="38">
        <v>4690</v>
      </c>
      <c r="D41" s="38">
        <v>142</v>
      </c>
      <c r="E41" s="106">
        <f t="shared" si="0"/>
        <v>-2.2916666666666665E-2</v>
      </c>
      <c r="F41" s="106">
        <f t="shared" si="1"/>
        <v>-6.5789473684210523E-2</v>
      </c>
    </row>
    <row r="42" spans="2:6" x14ac:dyDescent="0.35">
      <c r="B42" s="104">
        <v>46289</v>
      </c>
      <c r="C42" s="38">
        <v>4820</v>
      </c>
      <c r="D42" s="38">
        <v>153</v>
      </c>
      <c r="E42" s="106">
        <f t="shared" si="0"/>
        <v>2.7718550106609809E-2</v>
      </c>
      <c r="F42" s="106">
        <f t="shared" si="1"/>
        <v>7.746478873239436E-2</v>
      </c>
    </row>
    <row r="43" spans="2:6" x14ac:dyDescent="0.35">
      <c r="B43" s="104">
        <v>46319</v>
      </c>
      <c r="C43" s="38">
        <v>4900</v>
      </c>
      <c r="D43" s="38">
        <v>161</v>
      </c>
      <c r="E43" s="106">
        <f t="shared" si="0"/>
        <v>1.6597510373443983E-2</v>
      </c>
      <c r="F43" s="106">
        <f t="shared" si="1"/>
        <v>5.2287581699346407E-2</v>
      </c>
    </row>
    <row r="44" spans="2:6" x14ac:dyDescent="0.35">
      <c r="B44" s="104">
        <v>46350</v>
      </c>
      <c r="C44" s="38">
        <v>4970</v>
      </c>
      <c r="D44" s="38">
        <v>167</v>
      </c>
      <c r="E44" s="106">
        <f t="shared" si="0"/>
        <v>1.4285714285714285E-2</v>
      </c>
      <c r="F44" s="106">
        <f t="shared" si="1"/>
        <v>3.7267080745341616E-2</v>
      </c>
    </row>
    <row r="45" spans="2:6" x14ac:dyDescent="0.35">
      <c r="B45" s="104">
        <v>46380</v>
      </c>
      <c r="C45" s="38">
        <v>5050</v>
      </c>
      <c r="D45" s="38">
        <v>173</v>
      </c>
      <c r="E45" s="106">
        <f t="shared" si="0"/>
        <v>1.6096579476861168E-2</v>
      </c>
      <c r="F45" s="106">
        <f t="shared" si="1"/>
        <v>3.5928143712574849E-2</v>
      </c>
    </row>
    <row r="47" spans="2:6" x14ac:dyDescent="0.35">
      <c r="B47" s="100" t="s">
        <v>393</v>
      </c>
    </row>
    <row r="48" spans="2:6" x14ac:dyDescent="0.35">
      <c r="B48" s="30" t="s">
        <v>394</v>
      </c>
      <c r="C48" s="107">
        <f>AVERAGE(E23:E45)</f>
        <v>1.03693552618584E-2</v>
      </c>
    </row>
    <row r="49" spans="2:3" x14ac:dyDescent="0.35">
      <c r="B49" s="30" t="s">
        <v>395</v>
      </c>
      <c r="C49" s="107">
        <f>AVERAGE(F23:F45)</f>
        <v>2.5454446684003439E-2</v>
      </c>
    </row>
    <row r="50" spans="2:3" x14ac:dyDescent="0.35">
      <c r="B50" s="30" t="s">
        <v>396</v>
      </c>
      <c r="C50" s="107">
        <f>_xlfn.STDEV.S(E23:E45)</f>
        <v>1.9634060319506621E-2</v>
      </c>
    </row>
    <row r="51" spans="2:3" x14ac:dyDescent="0.35">
      <c r="B51" s="30" t="s">
        <v>397</v>
      </c>
      <c r="C51" s="107">
        <f>_xlfn.STDEV.S(F23:F45)</f>
        <v>5.3172212888187437E-2</v>
      </c>
    </row>
    <row r="52" spans="2:3" x14ac:dyDescent="0.35">
      <c r="B52" s="30" t="s">
        <v>398</v>
      </c>
      <c r="C52" s="108">
        <f>_xlfn.VAR.S(E23:E45)</f>
        <v>3.854963246300244E-4</v>
      </c>
    </row>
    <row r="53" spans="2:3" x14ac:dyDescent="0.35">
      <c r="B53" s="30" t="s">
        <v>399</v>
      </c>
      <c r="C53" s="108">
        <f>_xlfn.COVARIANCE.S(F23:F45,E23:E45)</f>
        <v>1.0348759643813809E-3</v>
      </c>
    </row>
    <row r="54" spans="2:3" x14ac:dyDescent="0.35">
      <c r="B54" s="30" t="s">
        <v>400</v>
      </c>
      <c r="C54" s="109">
        <f>CORREL(F23:F45,E23:E45)</f>
        <v>0.99127338202869519</v>
      </c>
    </row>
    <row r="56" spans="2:3" x14ac:dyDescent="0.35">
      <c r="B56" s="100" t="s">
        <v>401</v>
      </c>
    </row>
    <row r="57" spans="2:3" x14ac:dyDescent="0.35">
      <c r="B57" s="30" t="s">
        <v>402</v>
      </c>
      <c r="C57" s="45">
        <f>C53/C52</f>
        <v>2.6845287445336634</v>
      </c>
    </row>
    <row r="58" spans="2:3" x14ac:dyDescent="0.35">
      <c r="B58" s="30" t="s">
        <v>403</v>
      </c>
      <c r="C58" s="45">
        <f>SLOPE(F23:F45,E23:E45)</f>
        <v>2.6845287445336643</v>
      </c>
    </row>
    <row r="59" spans="2:3" x14ac:dyDescent="0.35">
      <c r="B59" s="30" t="s">
        <v>404</v>
      </c>
      <c r="C59" s="45">
        <f>C54*(C51/C50)</f>
        <v>2.6845287445336639</v>
      </c>
    </row>
    <row r="61" spans="2:3" x14ac:dyDescent="0.35">
      <c r="B61" s="30" t="s">
        <v>405</v>
      </c>
      <c r="C61" s="110">
        <f>INTERCEPT(F23:F45,E23:E45)</f>
        <v>-2.382385578736837E-3</v>
      </c>
    </row>
    <row r="62" spans="2:3" x14ac:dyDescent="0.35">
      <c r="B62" s="30" t="s">
        <v>406</v>
      </c>
      <c r="C62" s="111">
        <f>RSQ(F23:F45,E23:E45)</f>
        <v>0.98262291791860723</v>
      </c>
    </row>
    <row r="63" spans="2:3" x14ac:dyDescent="0.35">
      <c r="B63" s="30" t="s">
        <v>407</v>
      </c>
      <c r="C63" s="60" t="str">
        <f>"Rstock = "&amp;TEXT(C61,"0.00%")&amp;" + "&amp;ROUND(C58,3)&amp;" · Rmarket"</f>
        <v>Rstock = -0.24% + 2.685 · Rmarket</v>
      </c>
    </row>
    <row r="65" spans="2:6" x14ac:dyDescent="0.35">
      <c r="B65" s="100" t="s">
        <v>76</v>
      </c>
    </row>
    <row r="66" spans="2:6" x14ac:dyDescent="0.35">
      <c r="B66" s="6" t="s">
        <v>408</v>
      </c>
    </row>
    <row r="67" spans="2:6" x14ac:dyDescent="0.35">
      <c r="B67" s="6" t="s">
        <v>409</v>
      </c>
    </row>
    <row r="68" spans="2:6" x14ac:dyDescent="0.35">
      <c r="B68" s="6" t="s">
        <v>410</v>
      </c>
    </row>
    <row r="69" spans="2:6" x14ac:dyDescent="0.35">
      <c r="B69" s="6" t="s">
        <v>411</v>
      </c>
    </row>
    <row r="71" spans="2:6" x14ac:dyDescent="0.35">
      <c r="B71" s="100" t="s">
        <v>412</v>
      </c>
    </row>
    <row r="72" spans="2:6" ht="31" x14ac:dyDescent="0.4">
      <c r="B72" s="112" t="s">
        <v>413</v>
      </c>
    </row>
    <row r="73" spans="2:6" x14ac:dyDescent="0.35">
      <c r="B73" s="30" t="s">
        <v>414</v>
      </c>
      <c r="C73" s="113">
        <v>4.4999999999999998E-2</v>
      </c>
      <c r="D73" s="114" t="s">
        <v>415</v>
      </c>
      <c r="F73" s="93" t="s">
        <v>428</v>
      </c>
    </row>
    <row r="74" spans="2:6" x14ac:dyDescent="0.35">
      <c r="B74" s="30" t="s">
        <v>416</v>
      </c>
      <c r="C74" s="113">
        <v>0.1</v>
      </c>
      <c r="D74" s="114" t="s">
        <v>417</v>
      </c>
    </row>
    <row r="75" spans="2:6" x14ac:dyDescent="0.35">
      <c r="B75" s="30" t="s">
        <v>418</v>
      </c>
      <c r="C75" s="107">
        <f>C74-C73</f>
        <v>5.5000000000000007E-2</v>
      </c>
    </row>
    <row r="76" spans="2:6" x14ac:dyDescent="0.35">
      <c r="B76" s="30" t="s">
        <v>419</v>
      </c>
      <c r="C76" s="111">
        <f>C73+C58*C75</f>
        <v>0.19264908094935157</v>
      </c>
      <c r="D76" s="6" t="s">
        <v>427</v>
      </c>
    </row>
    <row r="78" spans="2:6" x14ac:dyDescent="0.35">
      <c r="B78" s="100" t="s">
        <v>420</v>
      </c>
    </row>
    <row r="79" spans="2:6" x14ac:dyDescent="0.35">
      <c r="B79" s="6" t="s">
        <v>421</v>
      </c>
    </row>
    <row r="80" spans="2:6" x14ac:dyDescent="0.35">
      <c r="B80" s="6" t="s">
        <v>422</v>
      </c>
    </row>
    <row r="81" spans="2:2" x14ac:dyDescent="0.35">
      <c r="B81" s="6" t="s">
        <v>423</v>
      </c>
    </row>
    <row r="82" spans="2:2" x14ac:dyDescent="0.35">
      <c r="B82" s="6" t="s">
        <v>424</v>
      </c>
    </row>
    <row r="83" spans="2:2" x14ac:dyDescent="0.35">
      <c r="B83" s="6" t="s">
        <v>425</v>
      </c>
    </row>
    <row r="85" spans="2:2" x14ac:dyDescent="0.35">
      <c r="B85" s="31" t="s">
        <v>426</v>
      </c>
    </row>
  </sheetData>
  <mergeCells count="2">
    <mergeCell ref="B2:I2"/>
    <mergeCell ref="B3:I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3206-1C4D-DE4A-9337-ED7A55BE50FD}">
  <sheetPr>
    <tabColor rgb="FFE97132"/>
  </sheetPr>
  <dimension ref="A1:F96"/>
  <sheetViews>
    <sheetView workbookViewId="0">
      <selection activeCell="C12" sqref="C12"/>
    </sheetView>
  </sheetViews>
  <sheetFormatPr baseColWidth="10" defaultRowHeight="29" x14ac:dyDescent="0.35"/>
  <cols>
    <col min="1" max="1" width="3" style="6" customWidth="1"/>
    <col min="2" max="2" width="74.5" style="6" customWidth="1"/>
    <col min="3" max="6" width="21.6640625" style="6" customWidth="1"/>
    <col min="7" max="16384" width="10.83203125" style="6"/>
  </cols>
  <sheetData>
    <row r="1" spans="1:4" x14ac:dyDescent="0.35">
      <c r="A1" s="23" t="str">
        <f>HYPERLINK("#TOC!B5","← Back to TOC")</f>
        <v>← Back to TOC</v>
      </c>
    </row>
    <row r="2" spans="1:4" x14ac:dyDescent="0.35">
      <c r="B2" s="120" t="s">
        <v>430</v>
      </c>
    </row>
    <row r="3" spans="1:4" x14ac:dyDescent="0.35">
      <c r="B3" s="122" t="s">
        <v>431</v>
      </c>
    </row>
    <row r="5" spans="1:4" x14ac:dyDescent="0.35">
      <c r="B5" s="123" t="s">
        <v>432</v>
      </c>
    </row>
    <row r="6" spans="1:4" x14ac:dyDescent="0.35">
      <c r="B6" s="6" t="s">
        <v>433</v>
      </c>
    </row>
    <row r="8" spans="1:4" x14ac:dyDescent="0.35">
      <c r="B8" s="120" t="s">
        <v>434</v>
      </c>
      <c r="C8" s="120" t="s">
        <v>435</v>
      </c>
      <c r="D8" s="120" t="s">
        <v>436</v>
      </c>
    </row>
    <row r="9" spans="1:4" ht="36" customHeight="1" x14ac:dyDescent="0.35">
      <c r="B9" s="121" t="s">
        <v>437</v>
      </c>
      <c r="C9" s="116" t="s">
        <v>438</v>
      </c>
      <c r="D9" s="116" t="s">
        <v>439</v>
      </c>
    </row>
    <row r="10" spans="1:4" ht="53" customHeight="1" x14ac:dyDescent="0.35">
      <c r="B10" s="121" t="s">
        <v>440</v>
      </c>
      <c r="C10" s="116" t="s">
        <v>441</v>
      </c>
      <c r="D10" s="116" t="s">
        <v>442</v>
      </c>
    </row>
    <row r="11" spans="1:4" ht="85" customHeight="1" x14ac:dyDescent="0.35">
      <c r="B11" s="121" t="s">
        <v>443</v>
      </c>
      <c r="C11" s="116" t="s">
        <v>444</v>
      </c>
      <c r="D11" s="116" t="s">
        <v>445</v>
      </c>
    </row>
    <row r="13" spans="1:4" x14ac:dyDescent="0.35">
      <c r="B13" s="120" t="s">
        <v>446</v>
      </c>
    </row>
    <row r="14" spans="1:4" x14ac:dyDescent="0.35">
      <c r="B14" s="30" t="s">
        <v>447</v>
      </c>
      <c r="C14" s="6" t="s">
        <v>448</v>
      </c>
    </row>
    <row r="16" spans="1:4" x14ac:dyDescent="0.35">
      <c r="B16" s="123" t="s">
        <v>449</v>
      </c>
    </row>
    <row r="17" spans="2:6" x14ac:dyDescent="0.35">
      <c r="B17" s="120" t="s">
        <v>450</v>
      </c>
      <c r="C17" s="126" t="s">
        <v>451</v>
      </c>
      <c r="D17" s="126" t="s">
        <v>452</v>
      </c>
      <c r="E17" s="126" t="s">
        <v>453</v>
      </c>
      <c r="F17" s="36" t="s">
        <v>454</v>
      </c>
    </row>
    <row r="18" spans="2:6" x14ac:dyDescent="0.35">
      <c r="B18" s="121" t="s">
        <v>455</v>
      </c>
      <c r="C18" s="127">
        <v>45</v>
      </c>
      <c r="D18" s="127">
        <v>25</v>
      </c>
      <c r="E18" s="127">
        <v>30</v>
      </c>
      <c r="F18" s="128">
        <f>SUM(C18:E18)</f>
        <v>100</v>
      </c>
    </row>
    <row r="19" spans="2:6" x14ac:dyDescent="0.35">
      <c r="B19" s="121" t="s">
        <v>456</v>
      </c>
      <c r="C19" s="127">
        <v>30</v>
      </c>
      <c r="D19" s="127">
        <v>50</v>
      </c>
      <c r="E19" s="127">
        <v>20</v>
      </c>
      <c r="F19" s="128">
        <f>SUM(C19:E19)</f>
        <v>100</v>
      </c>
    </row>
    <row r="20" spans="2:6" x14ac:dyDescent="0.35">
      <c r="B20" s="32" t="s">
        <v>457</v>
      </c>
      <c r="C20" s="128">
        <f>SUM(C18:C19)</f>
        <v>75</v>
      </c>
      <c r="D20" s="128">
        <f>SUM(D18:D19)</f>
        <v>75</v>
      </c>
      <c r="E20" s="128">
        <f>SUM(E18:E19)</f>
        <v>50</v>
      </c>
      <c r="F20" s="129">
        <f>SUM(F18:F19)</f>
        <v>200</v>
      </c>
    </row>
    <row r="22" spans="2:6" x14ac:dyDescent="0.35">
      <c r="B22" s="123" t="s">
        <v>458</v>
      </c>
    </row>
    <row r="23" spans="2:6" ht="30" x14ac:dyDescent="0.35">
      <c r="B23" s="120" t="s">
        <v>459</v>
      </c>
      <c r="C23" s="126" t="s">
        <v>451</v>
      </c>
      <c r="D23" s="126" t="s">
        <v>452</v>
      </c>
      <c r="E23" s="133" t="s">
        <v>453</v>
      </c>
    </row>
    <row r="24" spans="2:6" x14ac:dyDescent="0.35">
      <c r="B24" s="121" t="s">
        <v>455</v>
      </c>
      <c r="C24" s="130">
        <f t="shared" ref="C24:E25" si="0">$F18*C$20/$F$20</f>
        <v>37.5</v>
      </c>
      <c r="D24" s="130">
        <f t="shared" si="0"/>
        <v>37.5</v>
      </c>
      <c r="E24" s="130">
        <f t="shared" si="0"/>
        <v>25</v>
      </c>
    </row>
    <row r="25" spans="2:6" x14ac:dyDescent="0.35">
      <c r="B25" s="121" t="s">
        <v>456</v>
      </c>
      <c r="C25" s="130">
        <f t="shared" si="0"/>
        <v>37.5</v>
      </c>
      <c r="D25" s="130">
        <f t="shared" si="0"/>
        <v>37.5</v>
      </c>
      <c r="E25" s="130">
        <f t="shared" si="0"/>
        <v>25</v>
      </c>
    </row>
    <row r="27" spans="2:6" x14ac:dyDescent="0.35">
      <c r="B27" s="123" t="s">
        <v>460</v>
      </c>
    </row>
    <row r="28" spans="2:6" x14ac:dyDescent="0.35">
      <c r="B28" s="120" t="s">
        <v>461</v>
      </c>
      <c r="C28" s="126" t="s">
        <v>451</v>
      </c>
      <c r="D28" s="126" t="s">
        <v>452</v>
      </c>
      <c r="E28" s="126" t="s">
        <v>453</v>
      </c>
    </row>
    <row r="29" spans="2:6" x14ac:dyDescent="0.35">
      <c r="B29" s="121" t="s">
        <v>455</v>
      </c>
      <c r="C29" s="131">
        <f t="shared" ref="C29:E30" si="1">(C18-C24)^2/C24</f>
        <v>1.5</v>
      </c>
      <c r="D29" s="131">
        <f t="shared" si="1"/>
        <v>4.166666666666667</v>
      </c>
      <c r="E29" s="131">
        <f t="shared" si="1"/>
        <v>1</v>
      </c>
    </row>
    <row r="30" spans="2:6" x14ac:dyDescent="0.35">
      <c r="B30" s="121" t="s">
        <v>456</v>
      </c>
      <c r="C30" s="131">
        <f t="shared" si="1"/>
        <v>1.5</v>
      </c>
      <c r="D30" s="131">
        <f t="shared" si="1"/>
        <v>4.166666666666667</v>
      </c>
      <c r="E30" s="131">
        <f t="shared" si="1"/>
        <v>1</v>
      </c>
    </row>
    <row r="32" spans="2:6" x14ac:dyDescent="0.35">
      <c r="B32" s="123" t="s">
        <v>462</v>
      </c>
    </row>
    <row r="33" spans="2:3" x14ac:dyDescent="0.35">
      <c r="B33" s="30" t="s">
        <v>463</v>
      </c>
      <c r="C33" s="45">
        <f>SUM(C29:E30)</f>
        <v>13.333333333333336</v>
      </c>
    </row>
    <row r="34" spans="2:3" x14ac:dyDescent="0.35">
      <c r="B34" s="30" t="s">
        <v>464</v>
      </c>
      <c r="C34" s="30">
        <f>(2-1)*(3-1)</f>
        <v>2</v>
      </c>
    </row>
    <row r="35" spans="2:3" x14ac:dyDescent="0.35">
      <c r="B35" s="30" t="s">
        <v>465</v>
      </c>
      <c r="C35" s="45">
        <f>_xlfn.CHISQ.TEST(C18:E19,C24:E25)</f>
        <v>1.2726338013398068E-3</v>
      </c>
    </row>
    <row r="36" spans="2:3" x14ac:dyDescent="0.35">
      <c r="B36" s="30" t="s">
        <v>466</v>
      </c>
      <c r="C36" s="109">
        <f>_xlfn.CHISQ.INV.RT(0.05,C34)</f>
        <v>5.9914645471079817</v>
      </c>
    </row>
    <row r="37" spans="2:3" x14ac:dyDescent="0.35">
      <c r="B37" s="30" t="s">
        <v>467</v>
      </c>
      <c r="C37" s="45">
        <f>SQRT(C33/(F20*MIN(2-1,3-1)))</f>
        <v>0.25819888974716115</v>
      </c>
    </row>
    <row r="38" spans="2:3" x14ac:dyDescent="0.35">
      <c r="B38" s="30" t="s">
        <v>468</v>
      </c>
      <c r="C38" s="60" t="str">
        <f>IF(C35&lt;0.05,"REJECT H₀ → preference DEPENDS on gender","Fail to reject H₀ → no evidence of association")</f>
        <v>REJECT H₀ → preference DEPENDS on gender</v>
      </c>
    </row>
    <row r="40" spans="2:3" x14ac:dyDescent="0.35">
      <c r="B40" s="123" t="s">
        <v>76</v>
      </c>
    </row>
    <row r="41" spans="2:3" x14ac:dyDescent="0.35">
      <c r="B41" s="6" t="s">
        <v>469</v>
      </c>
    </row>
    <row r="42" spans="2:3" x14ac:dyDescent="0.35">
      <c r="B42" s="6" t="s">
        <v>470</v>
      </c>
    </row>
    <row r="43" spans="2:3" x14ac:dyDescent="0.35">
      <c r="B43" s="6" t="s">
        <v>471</v>
      </c>
    </row>
    <row r="47" spans="2:3" x14ac:dyDescent="0.35">
      <c r="B47" s="124" t="s">
        <v>472</v>
      </c>
    </row>
    <row r="48" spans="2:3" x14ac:dyDescent="0.35">
      <c r="B48" s="30" t="s">
        <v>447</v>
      </c>
      <c r="C48" s="6" t="s">
        <v>473</v>
      </c>
    </row>
    <row r="50" spans="2:5" x14ac:dyDescent="0.35">
      <c r="B50" s="125" t="s">
        <v>474</v>
      </c>
    </row>
    <row r="51" spans="2:5" x14ac:dyDescent="0.35">
      <c r="B51" s="126" t="s">
        <v>475</v>
      </c>
      <c r="C51" s="126" t="s">
        <v>476</v>
      </c>
      <c r="D51" s="126" t="s">
        <v>477</v>
      </c>
      <c r="E51" s="126" t="s">
        <v>478</v>
      </c>
    </row>
    <row r="52" spans="2:5" x14ac:dyDescent="0.35">
      <c r="B52" s="6">
        <v>1</v>
      </c>
      <c r="C52" s="127">
        <v>95</v>
      </c>
      <c r="D52" s="127">
        <v>70</v>
      </c>
      <c r="E52" s="127">
        <v>55</v>
      </c>
    </row>
    <row r="53" spans="2:5" x14ac:dyDescent="0.35">
      <c r="B53" s="6">
        <v>2</v>
      </c>
      <c r="C53" s="127">
        <v>105</v>
      </c>
      <c r="D53" s="127">
        <v>78</v>
      </c>
      <c r="E53" s="127">
        <v>58</v>
      </c>
    </row>
    <row r="54" spans="2:5" x14ac:dyDescent="0.35">
      <c r="B54" s="6">
        <v>3</v>
      </c>
      <c r="C54" s="127">
        <v>110</v>
      </c>
      <c r="D54" s="127">
        <v>82</v>
      </c>
      <c r="E54" s="127">
        <v>60</v>
      </c>
    </row>
    <row r="55" spans="2:5" x14ac:dyDescent="0.35">
      <c r="B55" s="6">
        <v>4</v>
      </c>
      <c r="C55" s="127">
        <v>100</v>
      </c>
      <c r="D55" s="127">
        <v>75</v>
      </c>
      <c r="E55" s="127">
        <v>62</v>
      </c>
    </row>
    <row r="56" spans="2:5" x14ac:dyDescent="0.35">
      <c r="B56" s="6">
        <v>5</v>
      </c>
      <c r="C56" s="127">
        <v>115</v>
      </c>
      <c r="D56" s="127">
        <v>85</v>
      </c>
      <c r="E56" s="127">
        <v>65</v>
      </c>
    </row>
    <row r="57" spans="2:5" x14ac:dyDescent="0.35">
      <c r="B57" s="6">
        <v>6</v>
      </c>
      <c r="C57" s="127">
        <v>98</v>
      </c>
      <c r="D57" s="127">
        <v>72</v>
      </c>
      <c r="E57" s="127">
        <v>57</v>
      </c>
    </row>
    <row r="58" spans="2:5" x14ac:dyDescent="0.35">
      <c r="B58" s="6">
        <v>7</v>
      </c>
      <c r="C58" s="127">
        <v>108</v>
      </c>
      <c r="D58" s="127">
        <v>80</v>
      </c>
      <c r="E58" s="127">
        <v>63</v>
      </c>
    </row>
    <row r="60" spans="2:5" x14ac:dyDescent="0.35">
      <c r="B60" s="125" t="s">
        <v>479</v>
      </c>
    </row>
    <row r="61" spans="2:5" x14ac:dyDescent="0.35">
      <c r="B61" s="120" t="s">
        <v>480</v>
      </c>
      <c r="C61" s="126" t="s">
        <v>476</v>
      </c>
      <c r="D61" s="126" t="s">
        <v>477</v>
      </c>
      <c r="E61" s="126" t="s">
        <v>478</v>
      </c>
    </row>
    <row r="62" spans="2:5" x14ac:dyDescent="0.35">
      <c r="B62" s="30" t="s">
        <v>481</v>
      </c>
      <c r="C62" s="72">
        <f>COUNT(C52:C58)</f>
        <v>7</v>
      </c>
      <c r="D62" s="72">
        <f>COUNT(D52:D58)</f>
        <v>7</v>
      </c>
      <c r="E62" s="72">
        <f>COUNT(E52:E58)</f>
        <v>7</v>
      </c>
    </row>
    <row r="63" spans="2:5" x14ac:dyDescent="0.35">
      <c r="B63" s="30" t="s">
        <v>70</v>
      </c>
      <c r="C63" s="132">
        <f>AVERAGE(C52:C58)</f>
        <v>104.42857142857143</v>
      </c>
      <c r="D63" s="132">
        <f>AVERAGE(D52:D58)</f>
        <v>77.428571428571431</v>
      </c>
      <c r="E63" s="132">
        <f>AVERAGE(E52:E58)</f>
        <v>60</v>
      </c>
    </row>
    <row r="64" spans="2:5" x14ac:dyDescent="0.35">
      <c r="B64" s="30" t="s">
        <v>482</v>
      </c>
      <c r="C64" s="130">
        <f>_xlfn.STDEV.S(C52:C58)</f>
        <v>7.1380936497345671</v>
      </c>
      <c r="D64" s="130">
        <f>_xlfn.STDEV.S(D52:D58)</f>
        <v>5.4116276928216598</v>
      </c>
      <c r="E64" s="130">
        <f>_xlfn.STDEV.S(E52:E58)</f>
        <v>3.5590260840104371</v>
      </c>
    </row>
    <row r="65" spans="2:5" x14ac:dyDescent="0.35">
      <c r="B65" s="30" t="s">
        <v>483</v>
      </c>
      <c r="C65" s="72">
        <f>MIN(C52:C58)</f>
        <v>95</v>
      </c>
      <c r="D65" s="72">
        <f>MIN(D52:D58)</f>
        <v>70</v>
      </c>
      <c r="E65" s="72">
        <f>MIN(E52:E58)</f>
        <v>55</v>
      </c>
    </row>
    <row r="66" spans="2:5" x14ac:dyDescent="0.35">
      <c r="B66" s="30" t="s">
        <v>484</v>
      </c>
      <c r="C66" s="72">
        <f>MAX(C52:C58)</f>
        <v>115</v>
      </c>
      <c r="D66" s="72">
        <f>MAX(D52:D58)</f>
        <v>85</v>
      </c>
      <c r="E66" s="72">
        <f>MAX(E52:E58)</f>
        <v>65</v>
      </c>
    </row>
    <row r="68" spans="2:5" x14ac:dyDescent="0.35">
      <c r="B68" s="125" t="s">
        <v>485</v>
      </c>
    </row>
    <row r="69" spans="2:5" x14ac:dyDescent="0.35">
      <c r="B69" s="30" t="s">
        <v>486</v>
      </c>
      <c r="C69" s="134">
        <f>AVERAGE(C52:E58)</f>
        <v>80.61904761904762</v>
      </c>
    </row>
    <row r="70" spans="2:5" x14ac:dyDescent="0.35">
      <c r="B70" s="30" t="s">
        <v>487</v>
      </c>
      <c r="C70" s="72">
        <v>3</v>
      </c>
    </row>
    <row r="71" spans="2:5" x14ac:dyDescent="0.35">
      <c r="B71" s="30" t="s">
        <v>488</v>
      </c>
      <c r="C71" s="72">
        <f>C62+D62+E62</f>
        <v>21</v>
      </c>
    </row>
    <row r="72" spans="2:5" x14ac:dyDescent="0.35">
      <c r="B72" s="30" t="s">
        <v>489</v>
      </c>
      <c r="C72" s="130">
        <f>C62*(C63-C69)^2+D62*(D63-C69)^2+E62*(E63-C69)^2</f>
        <v>7015.5238095238101</v>
      </c>
    </row>
    <row r="73" spans="2:5" x14ac:dyDescent="0.35">
      <c r="B73" s="30" t="s">
        <v>490</v>
      </c>
      <c r="C73" s="130">
        <f>(C62-1)*C64^2+(D62-1)*D64^2+(E62-1)*E64^2</f>
        <v>557.42857142857133</v>
      </c>
    </row>
    <row r="74" spans="2:5" x14ac:dyDescent="0.35">
      <c r="B74" s="30" t="s">
        <v>491</v>
      </c>
      <c r="C74" s="130">
        <f>C72+C73</f>
        <v>7572.9523809523816</v>
      </c>
    </row>
    <row r="75" spans="2:5" x14ac:dyDescent="0.35">
      <c r="B75" s="30" t="s">
        <v>492</v>
      </c>
      <c r="C75" s="72">
        <f>C70-1</f>
        <v>2</v>
      </c>
    </row>
    <row r="76" spans="2:5" x14ac:dyDescent="0.35">
      <c r="B76" s="30" t="s">
        <v>493</v>
      </c>
      <c r="C76" s="72">
        <f>C71-C70</f>
        <v>18</v>
      </c>
    </row>
    <row r="77" spans="2:5" x14ac:dyDescent="0.35">
      <c r="B77" s="30" t="s">
        <v>494</v>
      </c>
      <c r="C77" s="130">
        <f>C72/C75</f>
        <v>3507.761904761905</v>
      </c>
    </row>
    <row r="78" spans="2:5" x14ac:dyDescent="0.35">
      <c r="B78" s="30" t="s">
        <v>495</v>
      </c>
      <c r="C78" s="130">
        <f>C73/C76</f>
        <v>30.968253968253961</v>
      </c>
    </row>
    <row r="79" spans="2:5" x14ac:dyDescent="0.35">
      <c r="B79" s="30" t="s">
        <v>496</v>
      </c>
      <c r="C79" s="132">
        <f>C77/C78</f>
        <v>113.26960533059973</v>
      </c>
    </row>
    <row r="80" spans="2:5" x14ac:dyDescent="0.35">
      <c r="B80" s="30" t="s">
        <v>497</v>
      </c>
      <c r="C80" s="135">
        <f>_xlfn.F.DIST.RT(C79,C75,C76)</f>
        <v>6.3433108121665012E-11</v>
      </c>
    </row>
    <row r="81" spans="2:3" x14ac:dyDescent="0.35">
      <c r="B81" s="30" t="s">
        <v>498</v>
      </c>
      <c r="C81" s="136">
        <f>C72/C74</f>
        <v>0.92639217264449925</v>
      </c>
    </row>
    <row r="82" spans="2:3" x14ac:dyDescent="0.35">
      <c r="B82" s="30" t="s">
        <v>499</v>
      </c>
      <c r="C82" s="60" t="str">
        <f>IF(C80&lt;0.05,"REJECT H₀ → means DIFFER across departments","Fail to reject H₀ → no evidence of difference")</f>
        <v>REJECT H₀ → means DIFFER across departments</v>
      </c>
    </row>
    <row r="84" spans="2:3" x14ac:dyDescent="0.35">
      <c r="B84" s="125" t="s">
        <v>76</v>
      </c>
    </row>
    <row r="85" spans="2:3" x14ac:dyDescent="0.35">
      <c r="B85" s="3" t="s">
        <v>500</v>
      </c>
    </row>
    <row r="86" spans="2:3" x14ac:dyDescent="0.35">
      <c r="B86" s="3" t="s">
        <v>501</v>
      </c>
    </row>
    <row r="87" spans="2:3" x14ac:dyDescent="0.35">
      <c r="B87" s="3" t="s">
        <v>502</v>
      </c>
    </row>
    <row r="88" spans="2:3" x14ac:dyDescent="0.35">
      <c r="B88" s="4" t="s">
        <v>503</v>
      </c>
    </row>
    <row r="90" spans="2:3" x14ac:dyDescent="0.35">
      <c r="B90" s="119" t="s">
        <v>504</v>
      </c>
    </row>
    <row r="91" spans="2:3" x14ac:dyDescent="0.35">
      <c r="B91" s="3" t="s">
        <v>505</v>
      </c>
    </row>
    <row r="92" spans="2:3" x14ac:dyDescent="0.35">
      <c r="B92" s="3" t="s">
        <v>506</v>
      </c>
    </row>
    <row r="93" spans="2:3" x14ac:dyDescent="0.35">
      <c r="B93" s="3" t="s">
        <v>507</v>
      </c>
    </row>
    <row r="94" spans="2:3" x14ac:dyDescent="0.35">
      <c r="B94" s="3" t="s">
        <v>508</v>
      </c>
    </row>
    <row r="96" spans="2:3" x14ac:dyDescent="0.35">
      <c r="B96" s="5" t="s">
        <v>509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TOC</vt:lpstr>
      <vt:lpstr>1. Introduction</vt:lpstr>
      <vt:lpstr>2. Covariance</vt:lpstr>
      <vt:lpstr>3. Correlation</vt:lpstr>
      <vt:lpstr>4. Regression</vt:lpstr>
      <vt:lpstr>5. Comparison &amp; Pitfalls</vt:lpstr>
      <vt:lpstr>6. Notes</vt:lpstr>
      <vt:lpstr>7. Stock Beta</vt:lpstr>
      <vt:lpstr>8. Categorical Bivariate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Ravichandran Vaidyanathan</dc:creator>
  <cp:lastModifiedBy>Ravichandran Vaidyanathan</cp:lastModifiedBy>
  <dcterms:created xsi:type="dcterms:W3CDTF">2026-05-10T14:06:07Z</dcterms:created>
  <dcterms:modified xsi:type="dcterms:W3CDTF">2026-05-17T11:23:58Z</dcterms:modified>
</cp:coreProperties>
</file>