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1.xml" ContentType="application/vnd.openxmlformats-officedocument.spreadsheetml.worksheet+xml"/>
  <Override PartName="/xl/worksheets/sheet6.xml" ContentType="application/vnd.openxmlformats-officedocument.spreadsheetml.worksheet+xml"/>
  <Override PartName="/xl/worksheets/sheet15.xml" ContentType="application/vnd.openxmlformats-officedocument.spreadsheetml.worksheet+xml"/>
  <Override PartName="/xl/worksheets/sheet4.xml" ContentType="application/vnd.openxmlformats-officedocument.spreadsheetml.work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2.xml" ContentType="application/vnd.openxmlformats-officedocument.spreadsheetml.worksheet+xml"/>
  <Override PartName="/xl/worksheets/sheet7.xml" ContentType="application/vnd.openxmlformats-officedocument.spreadsheetml.worksheet+xml"/>
  <Override PartName="/xl/worksheets/sheet13.xml" ContentType="application/vnd.openxmlformats-officedocument.spreadsheetml.worksheet+xml"/>
  <Override PartName="/xl/worksheets/sheet8.xml" ContentType="application/vnd.openxmlformats-officedocument.spreadsheetml.worksheet+xml"/>
  <Override PartName="/xl/worksheets/sheet14.xml" ContentType="application/vnd.openxmlformats-officedocument.spreadsheetml.worksheet+xml"/>
  <Override PartName="/xl/worksheets/sheet9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ad Me" sheetId="1" state="visible" r:id="rId3"/>
    <sheet name="1 Price at Issue" sheetId="2" state="visible" r:id="rId4"/>
    <sheet name="2 Issue Yield" sheetId="3" state="visible" r:id="rId5"/>
    <sheet name="3 G-sec Auction" sheetId="4" state="visible" r:id="rId6"/>
    <sheet name="4 Reissue &amp; SDL" sheetId="5" state="visible" r:id="rId7"/>
    <sheet name="5 Treasury Bills" sheetId="6" state="visible" r:id="rId8"/>
    <sheet name="6 EBP Book" sheetId="7" state="visible" r:id="rId9"/>
    <sheet name="7 Special Structures" sheetId="8" state="visible" r:id="rId10"/>
    <sheet name="8 All-in Cost" sheetId="9" state="visible" r:id="rId11"/>
    <sheet name="9 NCD Pricing" sheetId="10" state="visible" r:id="rId12"/>
    <sheet name="10 NCD Allotment" sheetId="11" state="visible" r:id="rId13"/>
    <sheet name="11 NCD Cost &amp; Trading" sheetId="12" state="visible" r:id="rId14"/>
    <sheet name="12 Caselet New vs Reissue" sheetId="13" state="visible" r:id="rId15"/>
    <sheet name="13 Caselet Fixed Bids" sheetId="14" state="visible" r:id="rId16"/>
    <sheet name="14 Caselet Pricing Bridge" sheetId="15" state="visible" r:id="rId1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<sst xmlns="http://schemas.openxmlformats.org/spreadsheetml/2006/main" count="464" uniqueCount="389">
  <si>
    <t xml:space="preserve">Bond Primary Market Pricing — Workbook</t>
  </si>
  <si>
    <t xml:space="preserve">Companion to the article at https://themountainpathacademy.com/bond-primary-market-pricing</t>
  </si>
  <si>
    <t xml:space="preserve">THE MOUNTAIN PATH ACADEMY  ·  World of Finance  ·  Prof. V. Ravichandran  ·  https://themountainpathacademy.com</t>
  </si>
  <si>
    <t xml:space="preserve">Contents — click a sheet name to jump to it</t>
  </si>
  <si>
    <t xml:space="preserve">Sheet</t>
  </si>
  <si>
    <t xml:space="preserve">What it does</t>
  </si>
  <si>
    <t xml:space="preserve">Worked example 1: price = PV of cash flows at the market yield; par, discount and premium issues.</t>
  </si>
  <si>
    <t xml:space="preserve">Worked example 2: interpolate the G-sec benchmark and stack credit, liquidity, structure and new-issue premiums.</t>
  </si>
  <si>
    <t xml:space="preserve">Worked example 3: yield-based, multiple-price RBI auction — cut-off, pro-rata, bid prices, WAP / WAY, proceeds vs uniform price.</t>
  </si>
  <si>
    <t xml:space="preserve">Price-based reissue (Problem 1), clean vs dirty price, and SDL pricing as a spread over the G-sec.</t>
  </si>
  <si>
    <t xml:space="preserve">Worked example 4: RBI's real 19 Aug 2026 T-bill results; implicit, bank-discount and effective yields; price/yield calculators; selling early; CMBs.</t>
  </si>
  <si>
    <t xml:space="preserve">Worked example 5: corporate bond coupon discovery on the EBP — cut-off, pro-rata, uniform vs multiple yield.</t>
  </si>
  <si>
    <t xml:space="preserve">Zero-coupon price and yield, floating-rate bond coupon, callable bond YTM / YTC / YTW.</t>
  </si>
  <si>
    <t xml:space="preserve">Worked example 6: issuer's all-in cost after one-time and recurring fees.</t>
  </si>
  <si>
    <t xml:space="preserve">NCD case, step E: build the 3- and 5-year issue yields and design Series I–IV (annual, cumulative, monthly).</t>
  </si>
  <si>
    <t xml:space="preserve">NCD case, steps F–G: category allocation, first-come-first-served allotment by day, pro-rata on the fill day, minimum subscription.</t>
  </si>
  <si>
    <t xml:space="preserve">NCD case, steps I–J: issuer all-in cost per series and weighted, and secondary-market prices after listing.</t>
  </si>
  <si>
    <t xml:space="preserve">Caselet 1: the same five bidders in a new-issue (yield) auction and a reissue (price) auction, side by side.</t>
  </si>
  <si>
    <t xml:space="preserve">Caselet 2: one bid book, two auction formats — payments under multiple and uniform pricing with bids held fixed.</t>
  </si>
  <si>
    <t xml:space="preserve">Caselet 3: corporate bond pricing bridge from benchmark to coupon to the issuer's all-in IRR.</t>
  </si>
  <si>
    <t xml:space="preserve">How to read the colours</t>
  </si>
  <si>
    <t xml:space="preserve">1,000.00</t>
  </si>
  <si>
    <t xml:space="preserve">Blue text = input. Change it and every result recalculates.</t>
  </si>
  <si>
    <t xml:space="preserve">Black text = formula. Do not overwrite.</t>
  </si>
  <si>
    <t xml:space="preserve">Key</t>
  </si>
  <si>
    <t xml:space="preserve">Yellow fill = key assumption worth experimenting with.</t>
  </si>
  <si>
    <t xml:space="preserve">Result</t>
  </si>
  <si>
    <t xml:space="preserve">Cream fill = headline result.</t>
  </si>
  <si>
    <t xml:space="preserve">Conventions</t>
  </si>
  <si>
    <t xml:space="preserve">•</t>
  </si>
  <si>
    <t xml:space="preserve">Prices are per ₹100 of face value unless a sheet says per ₹1,000 NCD. Amounts are in ₹ crore.</t>
  </si>
  <si>
    <t xml:space="preserve">G-secs and SDLs: semi-annual coupons. Corporate bonds and NCDs: annual coupons unless stated.</t>
  </si>
  <si>
    <t xml:space="preserve">T-bill implicit yield = (100 − P) ÷ P × 365 ÷ d, the basis RBI publishes.</t>
  </si>
  <si>
    <t xml:space="preserve">Worked examples 1–3, the NCD case and the problems use illustrative numbers; the issuer 'Nilgiri Homes Finance Ltd' is fictional.</t>
  </si>
  <si>
    <t xml:space="preserve">The T-bill sheet uses RBI's published cut-off prices for 19 August 2026. Regulatory rules should be checked against current official documents.</t>
  </si>
  <si>
    <t xml:space="preserve">Educational use only — not investment advice.</t>
  </si>
  <si>
    <t xml:space="preserve">Worked example 1 — one bond, three coupons</t>
  </si>
  <si>
    <t xml:space="preserve">Issue price = PV of coupons and principal at the yield investors require on the issue date</t>
  </si>
  <si>
    <t xml:space="preserve">Inputs</t>
  </si>
  <si>
    <t xml:space="preserve">Face value (₹)</t>
  </si>
  <si>
    <t xml:space="preserve">Years to maturity</t>
  </si>
  <si>
    <t xml:space="preserve">Coupons per year</t>
  </si>
  <si>
    <t xml:space="preserve">Required yield (annual)</t>
  </si>
  <si>
    <t xml:space="preserve">Issue size (₹ crore)</t>
  </si>
  <si>
    <t xml:space="preserve">Building blocks</t>
  </si>
  <si>
    <t xml:space="preserve">Periods n</t>
  </si>
  <si>
    <t xml:space="preserve">Periodic yield</t>
  </si>
  <si>
    <t xml:space="preserve">Annuity factor</t>
  </si>
  <si>
    <t xml:space="preserve">Discount factor for principal</t>
  </si>
  <si>
    <t xml:space="preserve">Three coupons</t>
  </si>
  <si>
    <t xml:space="preserve">Coupon rate (annual)</t>
  </si>
  <si>
    <t xml:space="preserve">Coupon per period (₹)</t>
  </si>
  <si>
    <t xml:space="preserve">Issue price (₹)</t>
  </si>
  <si>
    <t xml:space="preserve">Issue type</t>
  </si>
  <si>
    <t xml:space="preserve">Proceeds on the issue (₹ crore)</t>
  </si>
  <si>
    <t xml:space="preserve">Check with Excel's PV():</t>
  </si>
  <si>
    <t xml:space="preserve">should equal the 6.80% row</t>
  </si>
  <si>
    <t xml:space="preserve">Worked example 2 — building the issue yield (illustrative)</t>
  </si>
  <si>
    <t xml:space="preserve">5-year AAA PSU bond, annual coupons; yields on a common annual-effective basis</t>
  </si>
  <si>
    <t xml:space="preserve">Benchmark interpolation</t>
  </si>
  <si>
    <t xml:space="preserve">Shorter G-sec tenor n₁ (years)</t>
  </si>
  <si>
    <t xml:space="preserve">Yield at n₁</t>
  </si>
  <si>
    <t xml:space="preserve">Longer G-sec tenor n₂ (years)</t>
  </si>
  <si>
    <t xml:space="preserve">Yield at n₂</t>
  </si>
  <si>
    <t xml:space="preserve">Tenor of the new bond n</t>
  </si>
  <si>
    <t xml:space="preserve">Interpolated G-sec yield</t>
  </si>
  <si>
    <t xml:space="preserve">Premiums</t>
  </si>
  <si>
    <t xml:space="preserve">Building block</t>
  </si>
  <si>
    <t xml:space="preserve">Spread</t>
  </si>
  <si>
    <t xml:space="preserve">What it pays for</t>
  </si>
  <si>
    <t xml:space="preserve">Credit spread (assumed credit-only component)</t>
  </si>
  <si>
    <t xml:space="preserve">Risk of default — AAA PSU</t>
  </si>
  <si>
    <t xml:space="preserve">Liquidity premium</t>
  </si>
  <si>
    <t xml:space="preserve">Large, listed issue</t>
  </si>
  <si>
    <t xml:space="preserve">Structure premium</t>
  </si>
  <si>
    <t xml:space="preserve">Plain bullet bond, no call</t>
  </si>
  <si>
    <t xml:space="preserve">New-issue concession</t>
  </si>
  <si>
    <t xml:space="preserve">Steady market, regular issuer</t>
  </si>
  <si>
    <t xml:space="preserve">Required issue yield = coupon for a par issue</t>
  </si>
  <si>
    <t xml:space="preserve">What if the coupon is set below the required yield?</t>
  </si>
  <si>
    <t xml:space="preserve">Coupon actually offered</t>
  </si>
  <si>
    <t xml:space="preserve">Price investors will pay (₹ per 100)</t>
  </si>
  <si>
    <t xml:space="preserve">Worked example 3 — yield-based, multiple-price G-sec auction (illustrative)</t>
  </si>
  <si>
    <t xml:space="preserve">New 10-year G-sec, semi-annual coupons: bids filled from the lowest yield; the cut-off yield becomes the coupon</t>
  </si>
  <si>
    <t xml:space="preserve">Auction inputs</t>
  </si>
  <si>
    <t xml:space="preserve">Notified amount (₹ cr)</t>
  </si>
  <si>
    <t xml:space="preserve">Non-competitive share</t>
  </si>
  <si>
    <t xml:space="preserve">maximum 5% of the notified amount; enter the actual accepted share</t>
  </si>
  <si>
    <t xml:space="preserve">Non-competitive amount (₹ cr)</t>
  </si>
  <si>
    <t xml:space="preserve">Available to competitive bids (₹ cr)</t>
  </si>
  <si>
    <t xml:space="preserve">Tenor (years)</t>
  </si>
  <si>
    <t xml:space="preserve">Bid book (sorted from lowest yield)</t>
  </si>
  <si>
    <t xml:space="preserve">Bid yield</t>
  </si>
  <si>
    <t xml:space="preserve">Amount bid (₹ cr)</t>
  </si>
  <si>
    <t xml:space="preserve">Cumulative (₹ cr)</t>
  </si>
  <si>
    <t xml:space="preserve">Allotted (₹ cr)</t>
  </si>
  <si>
    <t xml:space="preserve">Allotment %</t>
  </si>
  <si>
    <t xml:space="preserve">Price paid per ₹100</t>
  </si>
  <si>
    <t xml:space="preserve">Paid (₹ cr)</t>
  </si>
  <si>
    <t xml:space="preserve">Total</t>
  </si>
  <si>
    <t xml:space="preserve">Results</t>
  </si>
  <si>
    <t xml:space="preserve">Cut-off yield = coupon</t>
  </si>
  <si>
    <t xml:space="preserve">the yield of the bid that takes cumulative demand past the competitive amount</t>
  </si>
  <si>
    <t xml:space="preserve">Pro-rata at the cut-off</t>
  </si>
  <si>
    <t xml:space="preserve">Weighted average price (WAP)</t>
  </si>
  <si>
    <t xml:space="preserve">Weighted average yield (WAY)</t>
  </si>
  <si>
    <t xml:space="preserve">Non-competitive bidders pay (₹ cr)</t>
  </si>
  <si>
    <t xml:space="preserve">allotted at the weighted average price</t>
  </si>
  <si>
    <t xml:space="preserve">Govt receives from competitive bids — multiple price (₹ cr)</t>
  </si>
  <si>
    <t xml:space="preserve">Same bids under uniform price (₹ cr)</t>
  </si>
  <si>
    <t xml:space="preserve">Difference (₹ cr)</t>
  </si>
  <si>
    <t xml:space="preserve">holding bids and allotments constant</t>
  </si>
  <si>
    <t xml:space="preserve">Price-based reissue of a G-sec and SDL pricing</t>
  </si>
  <si>
    <t xml:space="preserve">Reissue: the coupon is fixed, so investors bid a price · SDL: priced as a spread over the G-sec of the same tenor</t>
  </si>
  <si>
    <t xml:space="preserve">Reissue of an existing G-sec (Problem 1)</t>
  </si>
  <si>
    <t xml:space="preserve">Coupon of the outstanding G-sec</t>
  </si>
  <si>
    <t xml:space="preserve">Years left (on a coupon date)</t>
  </si>
  <si>
    <t xml:space="preserve">Auction clearing yield</t>
  </si>
  <si>
    <t xml:space="preserve">Cut-off price (₹ per 100)</t>
  </si>
  <si>
    <t xml:space="preserve">Price type</t>
  </si>
  <si>
    <t xml:space="preserve">Clean and dirty price between coupon dates</t>
  </si>
  <si>
    <t xml:space="preserve">Clean price quoted (₹)</t>
  </si>
  <si>
    <t xml:space="preserve">Days since last coupon</t>
  </si>
  <si>
    <t xml:space="preserve">Days in the coupon period (30/360: 180)</t>
  </si>
  <si>
    <t xml:space="preserve">Annual coupon</t>
  </si>
  <si>
    <t xml:space="preserve">Accrued interest (₹)</t>
  </si>
  <si>
    <t xml:space="preserve">Dirty (settlement) price (₹)</t>
  </si>
  <si>
    <t xml:space="preserve">State Development Loan (SDL) pricing</t>
  </si>
  <si>
    <t xml:space="preserve">10-year G-sec yield</t>
  </si>
  <si>
    <t xml:space="preserve">SDL spread over the G-sec</t>
  </si>
  <si>
    <t xml:space="preserve">depends on the state's finances, auction size, liquidity</t>
  </si>
  <si>
    <t xml:space="preserve">Expected SDL cut-off yield</t>
  </si>
  <si>
    <t xml:space="preserve">Actual cut-off yield</t>
  </si>
  <si>
    <t xml:space="preserve">Coupon of a reissued SDL</t>
  </si>
  <si>
    <t xml:space="preserve">Years left</t>
  </si>
  <si>
    <t xml:space="preserve">Reissue price (₹ per 100)</t>
  </si>
  <si>
    <t xml:space="preserve">Treasury bill pricing — discount instruments</t>
  </si>
  <si>
    <t xml:space="preserve">No coupon: issued below ₹100, repaid at ₹100. RBI publishes the implicit yield = (100 − P) ÷ P × 365 ÷ d</t>
  </si>
  <si>
    <t xml:space="preserve">RBI T-bill auction of 19 August 2026 (real cut-off prices)</t>
  </si>
  <si>
    <t xml:space="preserve">Tenor</t>
  </si>
  <si>
    <t xml:space="preserve">Days d</t>
  </si>
  <si>
    <t xml:space="preserve">Notified (₹ cr)</t>
  </si>
  <si>
    <t xml:space="preserve">Cut-off price (₹)</t>
  </si>
  <si>
    <t xml:space="preserve">Implicit yield (RBI basis)</t>
  </si>
  <si>
    <t xml:space="preserve">Bank discount yield (360)</t>
  </si>
  <si>
    <t xml:space="preserve">Discount yield (365)</t>
  </si>
  <si>
    <t xml:space="preserve">91-day</t>
  </si>
  <si>
    <t xml:space="preserve">182-day</t>
  </si>
  <si>
    <t xml:space="preserve">364-day</t>
  </si>
  <si>
    <t xml:space="preserve">Source: RBI press release, Treasury bill auction results, 19 August 2026 — https://rbi.org.in/SCRIPTs/BS_PressReleaseDisplay.aspx?prid=63401</t>
  </si>
  <si>
    <t xml:space="preserve">Cash raised and interest cost</t>
  </si>
  <si>
    <t xml:space="preserve">Govt receives (₹ cr)</t>
  </si>
  <si>
    <t xml:space="preserve">Repays at maturity (₹ cr)</t>
  </si>
  <si>
    <t xml:space="preserve">Interest (₹ cr)</t>
  </si>
  <si>
    <t xml:space="preserve">Effective annual yield</t>
  </si>
  <si>
    <t xml:space="preserve">Effective annual yield compounds the holding-period return over a 365-day year, so it is above the simple implicit yield for 91- and 182-day bills.</t>
  </si>
  <si>
    <t xml:space="preserve">Calculator 1 — bid price for a target yield</t>
  </si>
  <si>
    <t xml:space="preserve">Days to maturity</t>
  </si>
  <si>
    <t xml:space="preserve">Target implicit yield</t>
  </si>
  <si>
    <t xml:space="preserve">Bid price (₹)</t>
  </si>
  <si>
    <t xml:space="preserve">Calculator 2 — yield from a quoted price</t>
  </si>
  <si>
    <t xml:space="preserve">Price (₹)</t>
  </si>
  <si>
    <t xml:space="preserve">Implicit yield</t>
  </si>
  <si>
    <t xml:space="preserve">Bank discount yield (US-style, 360 days)</t>
  </si>
  <si>
    <t xml:space="preserve">Calculator 3 — selling a T-bill before maturity</t>
  </si>
  <si>
    <t xml:space="preserve">Bought: days to maturity</t>
  </si>
  <si>
    <t xml:space="preserve">Bought at yield</t>
  </si>
  <si>
    <t xml:space="preserve">Purchase price (₹)</t>
  </si>
  <si>
    <t xml:space="preserve">Days held</t>
  </si>
  <si>
    <t xml:space="preserve">Market yield on the sale date</t>
  </si>
  <si>
    <t xml:space="preserve">Sale price (₹)</t>
  </si>
  <si>
    <t xml:space="preserve">Annualised return on the holding period</t>
  </si>
  <si>
    <t xml:space="preserve">A fall in yields after purchase lifts the sale price, so the return over the holding period beats the yield bought at.</t>
  </si>
  <si>
    <t xml:space="preserve">Cash Management Bill (CMB) — same formula, shorter tenor</t>
  </si>
  <si>
    <t xml:space="preserve">Worked example 5 — corporate bond coupon discovery on the EBP (illustrative)</t>
  </si>
  <si>
    <t xml:space="preserve">AAA PSU, 5-year annual coupons; closed bidding; bids sorted from the lowest coupon</t>
  </si>
  <si>
    <t xml:space="preserve">Issue</t>
  </si>
  <si>
    <t xml:space="preserve">Base issue (₹ cr)</t>
  </si>
  <si>
    <t xml:space="preserve">Greenshoe (₹ cr)</t>
  </si>
  <si>
    <t xml:space="preserve">Amount accepted (₹ cr)</t>
  </si>
  <si>
    <t xml:space="preserve">Bid book</t>
  </si>
  <si>
    <t xml:space="preserve">Bid coupon</t>
  </si>
  <si>
    <t xml:space="preserve">Price — multiple yield</t>
  </si>
  <si>
    <t xml:space="preserve">Cut-off coupon</t>
  </si>
  <si>
    <t xml:space="preserve">Book cover (x total issue)</t>
  </si>
  <si>
    <t xml:space="preserve">Raised — uniform yield (₹ cr)</t>
  </si>
  <si>
    <t xml:space="preserve">Raised — multiple yield (₹ cr)</t>
  </si>
  <si>
    <t xml:space="preserve">Zero-coupon, floating-rate and callable bonds</t>
  </si>
  <si>
    <t xml:space="preserve">Each structure changes what investors bid and which yield to quote</t>
  </si>
  <si>
    <t xml:space="preserve">Zero-coupon bond</t>
  </si>
  <si>
    <t xml:space="preserve">Yield (annual)</t>
  </si>
  <si>
    <t xml:space="preserve">Issue price (₹ per 100)</t>
  </si>
  <si>
    <t xml:space="preserve">Accretion to par (₹)</t>
  </si>
  <si>
    <t xml:space="preserve">Yield from a price: issued at (₹)</t>
  </si>
  <si>
    <t xml:space="preserve">…for years</t>
  </si>
  <si>
    <t xml:space="preserve">Yield</t>
  </si>
  <si>
    <t xml:space="preserve">Floating Rate Bond (FRB)</t>
  </si>
  <si>
    <t xml:space="preserve">Benchmark (182-day T-bill yield)</t>
  </si>
  <si>
    <t xml:space="preserve">linked to the T-bill sheet</t>
  </si>
  <si>
    <t xml:space="preserve">Cut-off spread bid by investors</t>
  </si>
  <si>
    <t xml:space="preserve">First coupon</t>
  </si>
  <si>
    <t xml:space="preserve">Callable bond — yield to worst</t>
  </si>
  <si>
    <t xml:space="preserve">Coupon (annual)</t>
  </si>
  <si>
    <t xml:space="preserve">First call date (years)</t>
  </si>
  <si>
    <t xml:space="preserve">Call price (₹)</t>
  </si>
  <si>
    <t xml:space="preserve">Yield to maturity (YTM)</t>
  </si>
  <si>
    <t xml:space="preserve">Yield to call (YTC)</t>
  </si>
  <si>
    <t xml:space="preserve">Yield to worst (YTW)</t>
  </si>
  <si>
    <t xml:space="preserve">Worked example 6 — the issuer's all-in cost of borrowing (illustrative)</t>
  </si>
  <si>
    <t xml:space="preserve">₹500 crore, 5-year, 7.20% annual coupon at par; fees push the cost above the coupon</t>
  </si>
  <si>
    <t xml:space="preserve">Issue size (₹ cr)</t>
  </si>
  <si>
    <t xml:space="preserve">One-time costs (% of face)</t>
  </si>
  <si>
    <t xml:space="preserve">Recurring costs (% a year)</t>
  </si>
  <si>
    <t xml:space="preserve">Net proceeds per ₹100</t>
  </si>
  <si>
    <t xml:space="preserve">Net proceeds of the issue (₹ cr)</t>
  </si>
  <si>
    <t xml:space="preserve">Cost with one-time fees only</t>
  </si>
  <si>
    <t xml:space="preserve">All-in cost with all fees</t>
  </si>
  <si>
    <t xml:space="preserve">Gap over the coupon (bp)</t>
  </si>
  <si>
    <t xml:space="preserve">NCD case · Step E — pricing the series (Nilgiri Homes Finance Ltd, fictional)</t>
  </si>
  <si>
    <t xml:space="preserve">Retail NCDs are sold at par, so each series' coupon equals the yield investors need</t>
  </si>
  <si>
    <t xml:space="preserve">Building the issue yield</t>
  </si>
  <si>
    <t xml:space="preserve">3-year</t>
  </si>
  <si>
    <t xml:space="preserve">5-year</t>
  </si>
  <si>
    <t xml:space="preserve">Note</t>
  </si>
  <si>
    <t xml:space="preserve">G-sec yield for the tenor (annual-effective)</t>
  </si>
  <si>
    <t xml:space="preserve">From the G-sec curve</t>
  </si>
  <si>
    <t xml:space="preserve">Spread on traded AA HFC bonds</t>
  </si>
  <si>
    <t xml:space="preserve">Comparable rating, sector, tenor</t>
  </si>
  <si>
    <t xml:space="preserve">Public-issue / retail premium</t>
  </si>
  <si>
    <t xml:space="preserve">Selling a large tranche to individuals</t>
  </si>
  <si>
    <t xml:space="preserve">Required yield = coupon (annual)</t>
  </si>
  <si>
    <t xml:space="preserve">Series offered (per ₹1,000 NCD)</t>
  </si>
  <si>
    <t xml:space="preserve">Face value per NCD (₹)</t>
  </si>
  <si>
    <t xml:space="preserve">Series</t>
  </si>
  <si>
    <t xml:space="preserve">Tenor (yrs)</t>
  </si>
  <si>
    <t xml:space="preserve">Coupon (p.a.)</t>
  </si>
  <si>
    <t xml:space="preserve">Effective yield</t>
  </si>
  <si>
    <t xml:space="preserve">Paid per period (₹)</t>
  </si>
  <si>
    <t xml:space="preserve">At maturity (₹)</t>
  </si>
  <si>
    <t xml:space="preserve">I · Annual</t>
  </si>
  <si>
    <t xml:space="preserve">II · Cumulative</t>
  </si>
  <si>
    <t xml:space="preserve">—</t>
  </si>
  <si>
    <t xml:space="preserve">III · Annual</t>
  </si>
  <si>
    <t xml:space="preserve">IV · Monthly</t>
  </si>
  <si>
    <t xml:space="preserve">Series IV pays monthly, so its nominal coupon is set lower to give the same effective yield as Series III.</t>
  </si>
  <si>
    <t xml:space="preserve">If Series IV paid the full annual coupon monthly, effective cost would be</t>
  </si>
  <si>
    <t xml:space="preserve">NCD case · Steps F–G — category allocation and first-come-first-served allotment</t>
  </si>
  <si>
    <t xml:space="preserve">Each day's bids are filled in full until a category is full; on the day it fills, that day's bids are allotted pro rata</t>
  </si>
  <si>
    <t xml:space="preserve">Issue size</t>
  </si>
  <si>
    <t xml:space="preserve">Total issue (₹ cr)</t>
  </si>
  <si>
    <t xml:space="preserve">Minimum subscription (% of base)</t>
  </si>
  <si>
    <t xml:space="preserve">Bids and allotment by day (₹ cr)</t>
  </si>
  <si>
    <t xml:space="preserve">Category</t>
  </si>
  <si>
    <t xml:space="preserve">Share</t>
  </si>
  <si>
    <t xml:space="preserve">Allocation</t>
  </si>
  <si>
    <t xml:space="preserve">Bid Day 1</t>
  </si>
  <si>
    <t xml:space="preserve">Bid Day 2</t>
  </si>
  <si>
    <t xml:space="preserve">Bid Day 3</t>
  </si>
  <si>
    <t xml:space="preserve">Allot Day 1</t>
  </si>
  <si>
    <t xml:space="preserve">Allot Day 2</t>
  </si>
  <si>
    <t xml:space="preserve">Allot Day 3</t>
  </si>
  <si>
    <t xml:space="preserve">Allotted</t>
  </si>
  <si>
    <t xml:space="preserve">Pro-rata on fill day</t>
  </si>
  <si>
    <t xml:space="preserve">I · Institutional</t>
  </si>
  <si>
    <t xml:space="preserve">II · Non-institutional</t>
  </si>
  <si>
    <t xml:space="preserve">III · HNI (&gt; ₹10 lakh)</t>
  </si>
  <si>
    <t xml:space="preserve">IV · Retail (≤ ₹10 lakh)</t>
  </si>
  <si>
    <t xml:space="preserve">Book summary</t>
  </si>
  <si>
    <t xml:space="preserve">Total bids (₹ cr)</t>
  </si>
  <si>
    <t xml:space="preserve">Times the total issue</t>
  </si>
  <si>
    <t xml:space="preserve">Times the base issue</t>
  </si>
  <si>
    <t xml:space="preserve">Minimum subscription (₹ cr)</t>
  </si>
  <si>
    <t xml:space="preserve">Issue succeeds?</t>
  </si>
  <si>
    <t xml:space="preserve">One retail investor</t>
  </si>
  <si>
    <t xml:space="preserve">Applied on fill day (₹)</t>
  </si>
  <si>
    <t xml:space="preserve">Pro-rata %</t>
  </si>
  <si>
    <t xml:space="preserve">NCDs allotted (whole NCDs of ₹1,000)</t>
  </si>
  <si>
    <t xml:space="preserve">Amount unblocked (₹)</t>
  </si>
  <si>
    <t xml:space="preserve">Exact rounding rules follow the offer document; this rounds down to whole NCDs for illustration.</t>
  </si>
  <si>
    <t xml:space="preserve">NCD case · Steps I–J — issuer all-in cost and life after listing</t>
  </si>
  <si>
    <t xml:space="preserve">All-in cost = IRR of what the issuer receives (after fees) and pays (coupons, recurring fees, principal)</t>
  </si>
  <si>
    <t xml:space="preserve">Fee assumptions (illustrative)</t>
  </si>
  <si>
    <t xml:space="preserve">Upfront costs (% of face)</t>
  </si>
  <si>
    <t xml:space="preserve">All-in cost by series</t>
  </si>
  <si>
    <t xml:space="preserve">Coupon / yield</t>
  </si>
  <si>
    <t xml:space="preserve">Investor yield</t>
  </si>
  <si>
    <t xml:space="preserve">Issuer all-in cost</t>
  </si>
  <si>
    <t xml:space="preserve">Net proceeds (₹ cr)</t>
  </si>
  <si>
    <t xml:space="preserve">I · 3y annual</t>
  </si>
  <si>
    <t xml:space="preserve">II · 3y cumulative</t>
  </si>
  <si>
    <t xml:space="preserve">III · 5y annual</t>
  </si>
  <si>
    <t xml:space="preserve">IV · 5y monthly</t>
  </si>
  <si>
    <t xml:space="preserve">Weighted</t>
  </si>
  <si>
    <t xml:space="preserve">Cost of fees (bp a year)</t>
  </si>
  <si>
    <t xml:space="preserve">Life after listing — Series III one year later (4 years left)</t>
  </si>
  <si>
    <t xml:space="preserve">Scenario</t>
  </si>
  <si>
    <t xml:space="preserve">Required yield</t>
  </si>
  <si>
    <t xml:space="preserve">Price per ₹1,000</t>
  </si>
  <si>
    <t xml:space="preserve">vs par</t>
  </si>
  <si>
    <t xml:space="preserve">Yields fall</t>
  </si>
  <si>
    <t xml:space="preserve">Unchanged</t>
  </si>
  <si>
    <t xml:space="preserve">Yields rise</t>
  </si>
  <si>
    <t xml:space="preserve">Cash flows behind Series II (per ₹100, issuer's view)</t>
  </si>
  <si>
    <t xml:space="preserve">Year</t>
  </si>
  <si>
    <t xml:space="preserve">Cash flow</t>
  </si>
  <si>
    <t xml:space="preserve">Caselet 1 — new G-sec versus reissue, side by side (illustrative)</t>
  </si>
  <si>
    <t xml:space="preserve">Left: a new 10-year G-sec — bids in yield discover the coupon. Right: a reissue of 7.10% GS with 8 years left — the coupon stays, bids in price discover the price.</t>
  </si>
  <si>
    <t xml:space="preserve">Common inputs</t>
  </si>
  <si>
    <t xml:space="preserve">Reissue coupon</t>
  </si>
  <si>
    <t xml:space="preserve">Non-comp. share</t>
  </si>
  <si>
    <t xml:space="preserve">Competitive (₹ cr)</t>
  </si>
  <si>
    <t xml:space="preserve">New issue tenor</t>
  </si>
  <si>
    <t xml:space="preserve">A · New issue — yield-based (sorted lowest yield first)</t>
  </si>
  <si>
    <t xml:space="preserve">B · Reissue — price-based (sorted highest price first)</t>
  </si>
  <si>
    <t xml:space="preserve">Amount (₹ cr)</t>
  </si>
  <si>
    <t xml:space="preserve">Cumulative</t>
  </si>
  <si>
    <t xml:space="preserve">Price paid</t>
  </si>
  <si>
    <t xml:space="preserve">Implied yield</t>
  </si>
  <si>
    <t xml:space="preserve">Coupon = cut-off yield</t>
  </si>
  <si>
    <t xml:space="preserve">Cut-off price</t>
  </si>
  <si>
    <t xml:space="preserve">Yield at cut-off</t>
  </si>
  <si>
    <t xml:space="preserve">Coupon (unchanged)</t>
  </si>
  <si>
    <t xml:space="preserve">What each auction fixes</t>
  </si>
  <si>
    <t xml:space="preserve">New issue</t>
  </si>
  <si>
    <t xml:space="preserve">Reissue</t>
  </si>
  <si>
    <t xml:space="preserve">Investors bid</t>
  </si>
  <si>
    <t xml:space="preserve">Price per ₹100</t>
  </si>
  <si>
    <t xml:space="preserve">Bids sorted by</t>
  </si>
  <si>
    <t xml:space="preserve">Lowest yield first</t>
  </si>
  <si>
    <t xml:space="preserve">Highest price first</t>
  </si>
  <si>
    <t xml:space="preserve">Auction discovers</t>
  </si>
  <si>
    <t xml:space="preserve">Coupon (= cut-off yield)</t>
  </si>
  <si>
    <t xml:space="preserve">Price (coupon fixed)</t>
  </si>
  <si>
    <t xml:space="preserve">Winners pay</t>
  </si>
  <si>
    <t xml:space="preserve">Own price at the new coupon</t>
  </si>
  <si>
    <t xml:space="preserve">Own bid price + accrued</t>
  </si>
  <si>
    <t xml:space="preserve">Caselet 2 — one bid book, two auction formats (FIXED-BID COMPARISON)</t>
  </si>
  <si>
    <t xml:space="preserve">Bids and allotments are held exactly as in Caselet 1. Real bidders would bid differently under each format, so this isolates the payment rule only.</t>
  </si>
  <si>
    <t xml:space="preserve">A · New issue (coupon = cut-off yield)</t>
  </si>
  <si>
    <t xml:space="preserve">Multiple: price</t>
  </si>
  <si>
    <t xml:space="preserve">Multiple: pays (₹ cr)</t>
  </si>
  <si>
    <t xml:space="preserve">Uniform: pays (₹ cr)</t>
  </si>
  <si>
    <t xml:space="preserve">Difference</t>
  </si>
  <si>
    <t xml:space="preserve">Each winner's yield</t>
  </si>
  <si>
    <t xml:space="preserve">Multiple: own bid yield · Uniform: cut-off yield for all</t>
  </si>
  <si>
    <t xml:space="preserve">B · Reissue (coupon fixed, price discovered)</t>
  </si>
  <si>
    <t xml:space="preserve">Bid price</t>
  </si>
  <si>
    <t xml:space="preserve">Non-competitive bidders (₹ 300 cr)</t>
  </si>
  <si>
    <t xml:space="preserve">New issue WAP</t>
  </si>
  <si>
    <t xml:space="preserve">Pays under multiple (₹ cr)</t>
  </si>
  <si>
    <t xml:space="preserve">Pays under uniform (₹ cr)</t>
  </si>
  <si>
    <t xml:space="preserve">FIXED-BID COMPARISON: the difference is the payment rule only. It does not prove that multiple-price auctions raise more, because bidders shade bids under multiple pricing.</t>
  </si>
  <si>
    <t xml:space="preserve">Caselet 3 — corporate bond pricing bridge (illustrative)</t>
  </si>
  <si>
    <t xml:space="preserve">7-year AA+ NBFC, ₹1,000 crore private placement on the EBP, annual coupons: benchmark → spread → adjustments → coupon → fees → all-in IRR</t>
  </si>
  <si>
    <t xml:space="preserve">Step 1 · Benchmark</t>
  </si>
  <si>
    <t xml:space="preserve">5-year G-sec yield (semi-annual)</t>
  </si>
  <si>
    <t xml:space="preserve">10-year G-sec yield (semi-annual)</t>
  </si>
  <si>
    <t xml:space="preserve">Bond tenor (years)</t>
  </si>
  <si>
    <t xml:space="preserve">Interpolated 7-year G-sec (semi-annual)</t>
  </si>
  <si>
    <t xml:space="preserve">Converted to annual-effective</t>
  </si>
  <si>
    <t xml:space="preserve">the corporate bond pays annually</t>
  </si>
  <si>
    <t xml:space="preserve">Step 2 · Comparable spread and issue-specific adjustments</t>
  </si>
  <si>
    <t xml:space="preserve">Spread on traded AA+ NBFC 7-year bonds</t>
  </si>
  <si>
    <t xml:space="preserve">already includes credit and liquidity</t>
  </si>
  <si>
    <t xml:space="preserve">Adjustment: larger size than the comparable</t>
  </si>
  <si>
    <t xml:space="preserve">Adjustment: new-issue concession</t>
  </si>
  <si>
    <t xml:space="preserve">Adjustment: stronger security / covenants</t>
  </si>
  <si>
    <t xml:space="preserve">Step 3 · Coupon discovery on the EBP</t>
  </si>
  <si>
    <t xml:space="preserve">Coupon = cut-off (uniform yield, issued at par)</t>
  </si>
  <si>
    <t xml:space="preserve">Cut-off vs required yield (bp)</t>
  </si>
  <si>
    <t xml:space="preserve">Step 4 · Fees and the issuer's all-in IRR</t>
  </si>
  <si>
    <t xml:space="preserve">Arranger fee (% upfront)</t>
  </si>
  <si>
    <t xml:space="preserve">Credit rating (% upfront)</t>
  </si>
  <si>
    <t xml:space="preserve">EBP, exchange, legal, trustee set-up (% upfront)</t>
  </si>
  <si>
    <t xml:space="preserve">Stamp duty (% upfront)</t>
  </si>
  <si>
    <t xml:space="preserve">Total upfront</t>
  </si>
  <si>
    <t xml:space="preserve">Recurring: trustee + rating surveillance (% a year)</t>
  </si>
  <si>
    <t xml:space="preserve">IRR with upfront fees only</t>
  </si>
  <si>
    <t xml:space="preserve">Issuer all-in IRR</t>
  </si>
  <si>
    <t xml:space="preserve">The bridge</t>
  </si>
  <si>
    <t xml:space="preserve">Step</t>
  </si>
  <si>
    <t xml:space="preserve">Change</t>
  </si>
  <si>
    <t xml:space="preserve">Running level</t>
  </si>
  <si>
    <t xml:space="preserve">Benchmark 7-year G-sec (semi-annual)</t>
  </si>
  <si>
    <t xml:space="preserve">Convert to annual-effective</t>
  </si>
  <si>
    <t xml:space="preserve">Comparable AA+ NBFC spread</t>
  </si>
  <si>
    <t xml:space="preserve">Issue-specific adjustments</t>
  </si>
  <si>
    <t xml:space="preserve">Cut-off rounding on the EBP</t>
  </si>
  <si>
    <t xml:space="preserve">Fees (all-in IRR − coupon)</t>
  </si>
</sst>
</file>

<file path=xl/styles.xml><?xml version="1.0" encoding="utf-8"?>
<styleSheet xmlns="http://schemas.openxmlformats.org/spreadsheetml/2006/main">
  <numFmts count="16">
    <numFmt numFmtId="164" formatCode="General"/>
    <numFmt numFmtId="165" formatCode="0.00"/>
    <numFmt numFmtId="166" formatCode="0"/>
    <numFmt numFmtId="167" formatCode="0.00%"/>
    <numFmt numFmtId="168" formatCode="#,##0.00;\(#,##0.00\);\-"/>
    <numFmt numFmtId="169" formatCode="0.0000%"/>
    <numFmt numFmtId="170" formatCode="0.0000"/>
    <numFmt numFmtId="171" formatCode="#,##0.0000"/>
    <numFmt numFmtId="172" formatCode="0.0%"/>
    <numFmt numFmtId="173" formatCode="0.00\x"/>
    <numFmt numFmtId="174" formatCode="0.0"/>
    <numFmt numFmtId="175" formatCode="#,##0"/>
    <numFmt numFmtId="176" formatCode="\₹#,##0.00"/>
    <numFmt numFmtId="177" formatCode="0%"/>
    <numFmt numFmtId="178" formatCode="\₹#,##0.00;&quot;(₹&quot;#,##0.00\);\-"/>
    <numFmt numFmtId="179" formatCode="0.000%"/>
  </numFmts>
  <fonts count="2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123157"/>
      <name val="Arial"/>
      <family val="0"/>
      <charset val="1"/>
    </font>
    <font>
      <i val="true"/>
      <sz val="10"/>
      <color rgb="FF586982"/>
      <name val="Arial"/>
      <family val="0"/>
      <charset val="1"/>
    </font>
    <font>
      <b val="true"/>
      <sz val="10"/>
      <color rgb="FFFFD700"/>
      <name val="Arial"/>
      <family val="0"/>
      <charset val="1"/>
    </font>
    <font>
      <b val="true"/>
      <sz val="12"/>
      <color rgb="FF123157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u val="single"/>
      <sz val="11"/>
      <color rgb="FF1F4E8C"/>
      <name val="Arial"/>
      <family val="0"/>
      <charset val="1"/>
    </font>
    <font>
      <sz val="11"/>
      <name val="Arial"/>
      <family val="0"/>
      <charset val="1"/>
    </font>
    <font>
      <sz val="11"/>
      <color rgb="FF0000FF"/>
      <name val="Arial"/>
      <family val="0"/>
      <charset val="1"/>
    </font>
    <font>
      <sz val="11"/>
      <color rgb="FF000000"/>
      <name val="Arial"/>
      <family val="0"/>
      <charset val="1"/>
    </font>
    <font>
      <b val="true"/>
      <sz val="11"/>
      <name val="Arial"/>
      <family val="0"/>
      <charset val="1"/>
    </font>
    <font>
      <b val="true"/>
      <sz val="11"/>
      <color rgb="FFC0972F"/>
      <name val="Arial"/>
      <family val="0"/>
      <charset val="1"/>
    </font>
    <font>
      <b val="true"/>
      <sz val="16"/>
      <color rgb="FF123157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i val="true"/>
      <sz val="9"/>
      <color rgb="FF586982"/>
      <name val="Arial"/>
      <family val="0"/>
      <charset val="1"/>
    </font>
    <font>
      <sz val="11"/>
      <color rgb="FF008000"/>
      <name val="Arial"/>
      <family val="0"/>
      <charset val="1"/>
    </font>
    <font>
      <b val="true"/>
      <sz val="10"/>
      <color rgb="FFA23B4A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123157"/>
        <bgColor rgb="FF333333"/>
      </patternFill>
    </fill>
    <fill>
      <patternFill patternType="solid">
        <fgColor rgb="FFF6F8FB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8F0D6"/>
        <bgColor rgb="FFF6F8FB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>
        <color rgb="FFD9E2EF"/>
      </left>
      <right style="thin">
        <color rgb="FFD9E2EF"/>
      </right>
      <top style="thin">
        <color rgb="FFD9E2EF"/>
      </top>
      <bottom style="thin">
        <color rgb="FFD9E2EF"/>
      </bottom>
      <diagonal/>
    </border>
    <border diagonalUp="false" diagonalDown="false">
      <left/>
      <right/>
      <top/>
      <bottom style="medium">
        <color rgb="FFC0972F"/>
      </bottom>
      <diagonal/>
    </border>
    <border diagonalUp="false" diagonalDown="false">
      <left style="thin">
        <color rgb="FFD9E2EF"/>
      </left>
      <right/>
      <top style="thin">
        <color rgb="FFD9E2EF"/>
      </top>
      <bottom style="thin">
        <color rgb="FFD9E2E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9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0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1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13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7" fontId="1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3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2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3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13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3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11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1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3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1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4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5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6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6" fontId="13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7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7" fontId="1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3" fontId="13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3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5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8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3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1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1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9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9" fontId="1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A23B4A"/>
      <rgbColor rgb="FFF8F0D6"/>
      <rgbColor rgb="FFF6F8FB"/>
      <rgbColor rgb="FF660066"/>
      <rgbColor rgb="FFFF8080"/>
      <rgbColor rgb="FF0066CC"/>
      <rgbColor rgb="FFD9E2E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D700"/>
      <rgbColor rgb="FFC0972F"/>
      <rgbColor rgb="FFFF6600"/>
      <rgbColor rgb="FF586982"/>
      <rgbColor rgb="FF969696"/>
      <rgbColor rgb="FF123157"/>
      <rgbColor rgb="FF339966"/>
      <rgbColor rgb="FF003300"/>
      <rgbColor rgb="FF333300"/>
      <rgbColor rgb="FF993300"/>
      <rgbColor rgb="FF993366"/>
      <rgbColor rgb="FF1F4E8C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worksheet" Target="worksheets/sheet11.xml"/><Relationship Id="rId14" Type="http://schemas.openxmlformats.org/officeDocument/2006/relationships/worksheet" Target="worksheets/sheet12.xml"/><Relationship Id="rId15" Type="http://schemas.openxmlformats.org/officeDocument/2006/relationships/worksheet" Target="worksheets/sheet13.xml"/><Relationship Id="rId16" Type="http://schemas.openxmlformats.org/officeDocument/2006/relationships/worksheet" Target="worksheets/sheet14.xml"/><Relationship Id="rId17" Type="http://schemas.openxmlformats.org/officeDocument/2006/relationships/worksheet" Target="worksheets/sheet15.xml"/><Relationship Id="rId1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23157"/>
    <pageSetUpPr fitToPage="true"/>
  </sheetPr>
  <dimension ref="A1:D33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92"/>
  </cols>
  <sheetData>
    <row r="1" customFormat="false" ht="22.0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21.75" hidden="false" customHeight="true" outlineLevel="0" collapsed="false">
      <c r="A3" s="3" t="s">
        <v>2</v>
      </c>
      <c r="B3" s="4"/>
      <c r="C3" s="4"/>
      <c r="D3" s="4"/>
    </row>
    <row r="4" customFormat="false" ht="15" hidden="false" customHeight="false" outlineLevel="0" collapsed="false">
      <c r="A4" s="5" t="s">
        <v>3</v>
      </c>
    </row>
    <row r="5" customFormat="false" ht="15" hidden="false" customHeight="false" outlineLevel="0" collapsed="false">
      <c r="A5" s="6" t="s">
        <v>4</v>
      </c>
      <c r="B5" s="6" t="s">
        <v>5</v>
      </c>
    </row>
    <row r="6" customFormat="false" ht="15" hidden="false" customHeight="false" outlineLevel="0" collapsed="false">
      <c r="A6" s="7" t="str">
        <f aca="false">HYPERLINK("#'1 Price at Issue'!A1","1 Price at Issue")</f>
        <v>1 Price at Issue</v>
      </c>
      <c r="B6" s="8" t="s">
        <v>6</v>
      </c>
    </row>
    <row r="7" customFormat="false" ht="26.85" hidden="false" customHeight="false" outlineLevel="0" collapsed="false">
      <c r="A7" s="9" t="str">
        <f aca="false">HYPERLINK("#'2 Issue Yield'!A1","2 Issue Yield")</f>
        <v>2 Issue Yield</v>
      </c>
      <c r="B7" s="10" t="s">
        <v>7</v>
      </c>
    </row>
    <row r="8" customFormat="false" ht="26.85" hidden="false" customHeight="false" outlineLevel="0" collapsed="false">
      <c r="A8" s="7" t="str">
        <f aca="false">HYPERLINK("#'3 G-sec Auction'!A1","3 G-sec Auction")</f>
        <v>3 G-sec Auction</v>
      </c>
      <c r="B8" s="8" t="s">
        <v>8</v>
      </c>
    </row>
    <row r="9" customFormat="false" ht="15" hidden="false" customHeight="false" outlineLevel="0" collapsed="false">
      <c r="A9" s="9" t="str">
        <f aca="false">HYPERLINK("#'4 Reissue &amp; SDL'!A1","4 Reissue &amp; SDL")</f>
        <v>4 Reissue &amp; SDL</v>
      </c>
      <c r="B9" s="10" t="s">
        <v>9</v>
      </c>
    </row>
    <row r="10" customFormat="false" ht="26.85" hidden="false" customHeight="false" outlineLevel="0" collapsed="false">
      <c r="A10" s="7" t="str">
        <f aca="false">HYPERLINK("#'5 Treasury Bills'!A1","5 Treasury Bills")</f>
        <v>5 Treasury Bills</v>
      </c>
      <c r="B10" s="8" t="s">
        <v>10</v>
      </c>
    </row>
    <row r="11" customFormat="false" ht="26.85" hidden="false" customHeight="false" outlineLevel="0" collapsed="false">
      <c r="A11" s="9" t="str">
        <f aca="false">HYPERLINK("#'6 EBP Book'!A1","6 EBP Book")</f>
        <v>6 EBP Book</v>
      </c>
      <c r="B11" s="10" t="s">
        <v>11</v>
      </c>
    </row>
    <row r="12" customFormat="false" ht="15" hidden="false" customHeight="false" outlineLevel="0" collapsed="false">
      <c r="A12" s="7" t="str">
        <f aca="false">HYPERLINK("#'7 Special Structures'!A1","7 Special Structures")</f>
        <v>7 Special Structures</v>
      </c>
      <c r="B12" s="8" t="s">
        <v>12</v>
      </c>
    </row>
    <row r="13" customFormat="false" ht="15" hidden="false" customHeight="false" outlineLevel="0" collapsed="false">
      <c r="A13" s="9" t="str">
        <f aca="false">HYPERLINK("#'8 All-in Cost'!A1","8 All-in Cost")</f>
        <v>8 All-in Cost</v>
      </c>
      <c r="B13" s="10" t="s">
        <v>13</v>
      </c>
    </row>
    <row r="14" customFormat="false" ht="26.85" hidden="false" customHeight="false" outlineLevel="0" collapsed="false">
      <c r="A14" s="7" t="str">
        <f aca="false">HYPERLINK("#'9 NCD Pricing'!A1","9 NCD Pricing")</f>
        <v>9 NCD Pricing</v>
      </c>
      <c r="B14" s="8" t="s">
        <v>14</v>
      </c>
    </row>
    <row r="15" customFormat="false" ht="26.85" hidden="false" customHeight="false" outlineLevel="0" collapsed="false">
      <c r="A15" s="9" t="str">
        <f aca="false">HYPERLINK("#'10 NCD Allotment'!A1","10 NCD Allotment")</f>
        <v>10 NCD Allotment</v>
      </c>
      <c r="B15" s="10" t="s">
        <v>15</v>
      </c>
    </row>
    <row r="16" customFormat="false" ht="26.85" hidden="false" customHeight="false" outlineLevel="0" collapsed="false">
      <c r="A16" s="7" t="str">
        <f aca="false">HYPERLINK("#'11 NCD Cost &amp; Trading'!A1","11 NCD Cost &amp; Trading")</f>
        <v>11 NCD Cost &amp; Trading</v>
      </c>
      <c r="B16" s="8" t="s">
        <v>16</v>
      </c>
    </row>
    <row r="17" customFormat="false" ht="26.85" hidden="false" customHeight="false" outlineLevel="0" collapsed="false">
      <c r="A17" s="9" t="str">
        <f aca="false">HYPERLINK("#'12 Caselet New vs Reissue'!A1","12 Caselet New vs Reissue")</f>
        <v>12 Caselet New vs Reissue</v>
      </c>
      <c r="B17" s="10" t="s">
        <v>17</v>
      </c>
    </row>
    <row r="18" customFormat="false" ht="26.85" hidden="false" customHeight="false" outlineLevel="0" collapsed="false">
      <c r="A18" s="7" t="str">
        <f aca="false">HYPERLINK("#'13 Caselet Fixed Bids'!A1","13 Caselet Fixed Bids")</f>
        <v>13 Caselet Fixed Bids</v>
      </c>
      <c r="B18" s="8" t="s">
        <v>18</v>
      </c>
    </row>
    <row r="19" customFormat="false" ht="15" hidden="false" customHeight="false" outlineLevel="0" collapsed="false">
      <c r="A19" s="9" t="str">
        <f aca="false">HYPERLINK("#'14 Caselet Pricing Bridge'!A1","14 Caselet Pricing Bridge")</f>
        <v>14 Caselet Pricing Bridge</v>
      </c>
      <c r="B19" s="10" t="s">
        <v>19</v>
      </c>
    </row>
    <row r="21" customFormat="false" ht="15" hidden="false" customHeight="false" outlineLevel="0" collapsed="false">
      <c r="A21" s="5" t="s">
        <v>20</v>
      </c>
    </row>
    <row r="22" customFormat="false" ht="15" hidden="false" customHeight="false" outlineLevel="0" collapsed="false">
      <c r="A22" s="11" t="s">
        <v>21</v>
      </c>
      <c r="B22" s="12" t="s">
        <v>22</v>
      </c>
    </row>
    <row r="23" customFormat="false" ht="15" hidden="false" customHeight="false" outlineLevel="0" collapsed="false">
      <c r="A23" s="13" t="s">
        <v>21</v>
      </c>
      <c r="B23" s="12" t="s">
        <v>23</v>
      </c>
    </row>
    <row r="24" customFormat="false" ht="15" hidden="false" customHeight="false" outlineLevel="0" collapsed="false">
      <c r="A24" s="14" t="s">
        <v>24</v>
      </c>
      <c r="B24" s="12" t="s">
        <v>25</v>
      </c>
    </row>
    <row r="25" customFormat="false" ht="15" hidden="false" customHeight="false" outlineLevel="0" collapsed="false">
      <c r="A25" s="15" t="s">
        <v>26</v>
      </c>
      <c r="B25" s="12" t="s">
        <v>27</v>
      </c>
    </row>
    <row r="27" customFormat="false" ht="15" hidden="false" customHeight="false" outlineLevel="0" collapsed="false">
      <c r="A27" s="5" t="s">
        <v>28</v>
      </c>
    </row>
    <row r="28" customFormat="false" ht="15" hidden="false" customHeight="false" outlineLevel="0" collapsed="false">
      <c r="A28" s="16" t="s">
        <v>29</v>
      </c>
      <c r="B28" s="17" t="s">
        <v>30</v>
      </c>
    </row>
    <row r="29" customFormat="false" ht="26.85" hidden="false" customHeight="false" outlineLevel="0" collapsed="false">
      <c r="A29" s="16" t="s">
        <v>29</v>
      </c>
      <c r="B29" s="17" t="s">
        <v>31</v>
      </c>
    </row>
    <row r="30" customFormat="false" ht="15" hidden="false" customHeight="false" outlineLevel="0" collapsed="false">
      <c r="A30" s="16" t="s">
        <v>29</v>
      </c>
      <c r="B30" s="17" t="s">
        <v>32</v>
      </c>
    </row>
    <row r="31" customFormat="false" ht="26.85" hidden="false" customHeight="false" outlineLevel="0" collapsed="false">
      <c r="A31" s="16" t="s">
        <v>29</v>
      </c>
      <c r="B31" s="17" t="s">
        <v>33</v>
      </c>
    </row>
    <row r="32" customFormat="false" ht="26.85" hidden="false" customHeight="false" outlineLevel="0" collapsed="false">
      <c r="A32" s="16" t="s">
        <v>29</v>
      </c>
      <c r="B32" s="17" t="s">
        <v>34</v>
      </c>
    </row>
    <row r="33" customFormat="false" ht="15" hidden="false" customHeight="false" outlineLevel="0" collapsed="false">
      <c r="A33" s="16" t="s">
        <v>29</v>
      </c>
      <c r="B33" s="17" t="s">
        <v>35</v>
      </c>
    </row>
  </sheetData>
  <printOptions headings="false" gridLines="false" gridLinesSet="true" horizontalCentered="false" verticalCentered="false"/>
  <pageMargins left="0.75" right="0.75" top="1" bottom="1" header="0.5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>&amp;L&amp;"Arial,Bold"&amp;K123157The Mountain Path Academy&amp;R&amp;"Arial,Regular"&amp;A</oddHeader>
    <oddFooter>&amp;L&amp;"Arial,Regular"https://themountainpathacademy.com&amp;R&amp;"Arial,Regular"Page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23157"/>
    <pageSetUpPr fitToPage="true"/>
  </sheetPr>
  <dimension ref="A1:F2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4" min="2" style="0" width="16"/>
    <col collapsed="false" customWidth="true" hidden="false" outlineLevel="0" max="5" min="5" style="0" width="44"/>
    <col collapsed="false" customWidth="true" hidden="false" outlineLevel="0" max="6" min="6" style="0" width="14"/>
    <col collapsed="false" customWidth="true" hidden="false" outlineLevel="0" max="8" min="8" style="0" width="16"/>
  </cols>
  <sheetData>
    <row r="1" customFormat="false" ht="19.7" hidden="false" customHeight="false" outlineLevel="0" collapsed="false">
      <c r="A1" s="18" t="s">
        <v>36</v>
      </c>
      <c r="F1" s="19" t="str">
        <f aca="false">HYPERLINK("#'Read Me'!A1","← Contents")</f>
        <v>← Contents</v>
      </c>
    </row>
    <row r="2" customFormat="false" ht="15" hidden="false" customHeight="false" outlineLevel="0" collapsed="false">
      <c r="A2" s="2" t="s">
        <v>37</v>
      </c>
    </row>
    <row r="3" customFormat="false" ht="21.75" hidden="false" customHeight="true" outlineLevel="0" collapsed="false">
      <c r="A3" s="3" t="s">
        <v>2</v>
      </c>
      <c r="B3" s="4"/>
      <c r="C3" s="4"/>
      <c r="D3" s="4"/>
      <c r="E3" s="4"/>
      <c r="F3" s="4"/>
    </row>
    <row r="5" customFormat="false" ht="15" hidden="false" customHeight="false" outlineLevel="0" collapsed="false">
      <c r="A5" s="20" t="s">
        <v>38</v>
      </c>
      <c r="B5" s="21"/>
      <c r="C5" s="21"/>
      <c r="D5" s="21"/>
      <c r="E5" s="21"/>
    </row>
    <row r="6" customFormat="false" ht="15" hidden="false" customHeight="false" outlineLevel="0" collapsed="false">
      <c r="A6" s="10" t="s">
        <v>39</v>
      </c>
      <c r="B6" s="22" t="n">
        <v>100</v>
      </c>
    </row>
    <row r="7" customFormat="false" ht="15" hidden="false" customHeight="false" outlineLevel="0" collapsed="false">
      <c r="A7" s="10" t="s">
        <v>40</v>
      </c>
      <c r="B7" s="23" t="n">
        <v>10</v>
      </c>
    </row>
    <row r="8" customFormat="false" ht="15" hidden="false" customHeight="false" outlineLevel="0" collapsed="false">
      <c r="A8" s="10" t="s">
        <v>41</v>
      </c>
      <c r="B8" s="23" t="n">
        <v>2</v>
      </c>
    </row>
    <row r="9" customFormat="false" ht="15" hidden="false" customHeight="false" outlineLevel="0" collapsed="false">
      <c r="A9" s="10" t="s">
        <v>42</v>
      </c>
      <c r="B9" s="24" t="n">
        <v>0.07</v>
      </c>
    </row>
    <row r="10" customFormat="false" ht="15" hidden="false" customHeight="false" outlineLevel="0" collapsed="false">
      <c r="A10" s="10" t="s">
        <v>43</v>
      </c>
      <c r="B10" s="25" t="n">
        <v>1000</v>
      </c>
    </row>
    <row r="12" customFormat="false" ht="15" hidden="false" customHeight="false" outlineLevel="0" collapsed="false">
      <c r="A12" s="20" t="s">
        <v>44</v>
      </c>
      <c r="B12" s="21"/>
      <c r="C12" s="21"/>
      <c r="D12" s="21"/>
      <c r="E12" s="21"/>
    </row>
    <row r="13" customFormat="false" ht="15" hidden="false" customHeight="false" outlineLevel="0" collapsed="false">
      <c r="A13" s="10" t="s">
        <v>45</v>
      </c>
      <c r="B13" s="26" t="n">
        <f aca="false">B7*B8</f>
        <v>20</v>
      </c>
    </row>
    <row r="14" customFormat="false" ht="15" hidden="false" customHeight="false" outlineLevel="0" collapsed="false">
      <c r="A14" s="10" t="s">
        <v>46</v>
      </c>
      <c r="B14" s="27" t="n">
        <f aca="false">B9/B8</f>
        <v>0.035</v>
      </c>
    </row>
    <row r="15" customFormat="false" ht="15" hidden="false" customHeight="false" outlineLevel="0" collapsed="false">
      <c r="A15" s="10" t="s">
        <v>47</v>
      </c>
      <c r="B15" s="28" t="n">
        <f aca="false">(1-(1+B14)^-B13)/B14</f>
        <v>14.2124033019523</v>
      </c>
    </row>
    <row r="16" customFormat="false" ht="15" hidden="false" customHeight="false" outlineLevel="0" collapsed="false">
      <c r="A16" s="10" t="s">
        <v>48</v>
      </c>
      <c r="B16" s="28" t="n">
        <f aca="false">(1+B14)^-B13</f>
        <v>0.502565884431671</v>
      </c>
    </row>
    <row r="18" customFormat="false" ht="15" hidden="false" customHeight="false" outlineLevel="0" collapsed="false">
      <c r="A18" s="20" t="s">
        <v>49</v>
      </c>
      <c r="B18" s="21"/>
      <c r="C18" s="21"/>
      <c r="D18" s="21"/>
      <c r="E18" s="21"/>
    </row>
    <row r="19" customFormat="false" ht="31.5" hidden="false" customHeight="true" outlineLevel="0" collapsed="false">
      <c r="A19" s="29" t="s">
        <v>50</v>
      </c>
      <c r="B19" s="29" t="s">
        <v>51</v>
      </c>
      <c r="C19" s="29" t="s">
        <v>52</v>
      </c>
      <c r="D19" s="29" t="s">
        <v>53</v>
      </c>
      <c r="E19" s="29" t="s">
        <v>54</v>
      </c>
    </row>
    <row r="20" customFormat="false" ht="15" hidden="false" customHeight="false" outlineLevel="0" collapsed="false">
      <c r="A20" s="30" t="n">
        <v>0.07</v>
      </c>
      <c r="B20" s="28" t="n">
        <f aca="false">$B$6*A20/$B$8</f>
        <v>3.5</v>
      </c>
      <c r="C20" s="31" t="n">
        <f aca="false">B20*$B$15+$B$6*$B$16</f>
        <v>100</v>
      </c>
      <c r="D20" s="13" t="str">
        <f aca="false">IF(ABS(C20-$B$6)&lt;0.00005,"Par",IF(C20&lt;$B$6,"Discount","Premium"))</f>
        <v>Par</v>
      </c>
      <c r="E20" s="32" t="n">
        <f aca="false">$B$10*C20/$B$6</f>
        <v>1000</v>
      </c>
    </row>
    <row r="21" customFormat="false" ht="15" hidden="false" customHeight="false" outlineLevel="0" collapsed="false">
      <c r="A21" s="30" t="n">
        <v>0.068</v>
      </c>
      <c r="B21" s="28" t="n">
        <f aca="false">$B$6*A21/$B$8</f>
        <v>3.4</v>
      </c>
      <c r="C21" s="31" t="n">
        <f aca="false">B21*$B$15+$B$6*$B$16</f>
        <v>98.5787596698048</v>
      </c>
      <c r="D21" s="13" t="str">
        <f aca="false">IF(ABS(C21-$B$6)&lt;0.00005,"Par",IF(C21&lt;$B$6,"Discount","Premium"))</f>
        <v>Discount</v>
      </c>
      <c r="E21" s="32" t="n">
        <f aca="false">$B$10*C21/$B$6</f>
        <v>985.787596698048</v>
      </c>
    </row>
    <row r="22" customFormat="false" ht="15" hidden="false" customHeight="false" outlineLevel="0" collapsed="false">
      <c r="A22" s="30" t="n">
        <v>0.0725</v>
      </c>
      <c r="B22" s="28" t="n">
        <f aca="false">$B$6*A22/$B$8</f>
        <v>3.625</v>
      </c>
      <c r="C22" s="31" t="n">
        <f aca="false">B22*$B$15+$B$6*$B$16</f>
        <v>101.776550412744</v>
      </c>
      <c r="D22" s="13" t="str">
        <f aca="false">IF(ABS(C22-$B$6)&lt;0.00005,"Par",IF(C22&lt;$B$6,"Discount","Premium"))</f>
        <v>Premium</v>
      </c>
      <c r="E22" s="32" t="n">
        <f aca="false">$B$10*C22/$B$6</f>
        <v>1017.76550412744</v>
      </c>
    </row>
    <row r="24" customFormat="false" ht="15" hidden="false" customHeight="false" outlineLevel="0" collapsed="false">
      <c r="A24" s="33" t="s">
        <v>55</v>
      </c>
      <c r="C24" s="34" t="n">
        <f aca="false">-PV(B14,B13,B21,B6)</f>
        <v>98.5787596698048</v>
      </c>
      <c r="D24" s="35" t="s">
        <v>56</v>
      </c>
    </row>
  </sheetData>
  <printOptions headings="false" gridLines="false" gridLinesSet="true" horizontalCentered="false" verticalCentered="false"/>
  <pageMargins left="0.75" right="0.75" top="1" bottom="1" header="0.5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>&amp;L&amp;"Arial,Bold"&amp;K123157The Mountain Path Academy&amp;R&amp;"Arial,Regular"&amp;A</oddHeader>
    <oddFooter>&amp;L&amp;"Arial,Regular"https://themountainpathacademy.com&amp;R&amp;"Arial,Regular"Page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23157"/>
    <pageSetUpPr fitToPage="true"/>
  </sheetPr>
  <dimension ref="A1:E2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2"/>
    <col collapsed="false" customWidth="true" hidden="false" outlineLevel="0" max="3" min="2" style="0" width="16"/>
    <col collapsed="false" customWidth="true" hidden="false" outlineLevel="0" max="4" min="4" style="0" width="44"/>
    <col collapsed="false" customWidth="true" hidden="false" outlineLevel="0" max="5" min="5" style="0" width="14"/>
    <col collapsed="false" customWidth="true" hidden="false" outlineLevel="0" max="8" min="8" style="0" width="16"/>
  </cols>
  <sheetData>
    <row r="1" customFormat="false" ht="19.7" hidden="false" customHeight="false" outlineLevel="0" collapsed="false">
      <c r="A1" s="18" t="s">
        <v>57</v>
      </c>
      <c r="E1" s="19" t="str">
        <f aca="false">HYPERLINK("#'Read Me'!A1","← Contents")</f>
        <v>← Contents</v>
      </c>
    </row>
    <row r="2" customFormat="false" ht="15" hidden="false" customHeight="false" outlineLevel="0" collapsed="false">
      <c r="A2" s="2" t="s">
        <v>58</v>
      </c>
    </row>
    <row r="3" customFormat="false" ht="21.75" hidden="false" customHeight="true" outlineLevel="0" collapsed="false">
      <c r="A3" s="3" t="s">
        <v>2</v>
      </c>
      <c r="B3" s="4"/>
      <c r="C3" s="4"/>
      <c r="D3" s="4"/>
      <c r="E3" s="4"/>
    </row>
    <row r="5" customFormat="false" ht="15" hidden="false" customHeight="false" outlineLevel="0" collapsed="false">
      <c r="A5" s="20" t="s">
        <v>59</v>
      </c>
      <c r="B5" s="21"/>
      <c r="C5" s="21"/>
      <c r="D5" s="21"/>
    </row>
    <row r="6" customFormat="false" ht="15" hidden="false" customHeight="false" outlineLevel="0" collapsed="false">
      <c r="A6" s="10" t="s">
        <v>60</v>
      </c>
      <c r="B6" s="23" t="n">
        <v>4</v>
      </c>
    </row>
    <row r="7" customFormat="false" ht="15" hidden="false" customHeight="false" outlineLevel="0" collapsed="false">
      <c r="A7" s="10" t="s">
        <v>61</v>
      </c>
      <c r="B7" s="30" t="n">
        <v>0.063</v>
      </c>
    </row>
    <row r="8" customFormat="false" ht="15" hidden="false" customHeight="false" outlineLevel="0" collapsed="false">
      <c r="A8" s="10" t="s">
        <v>62</v>
      </c>
      <c r="B8" s="23" t="n">
        <v>6</v>
      </c>
    </row>
    <row r="9" customFormat="false" ht="15" hidden="false" customHeight="false" outlineLevel="0" collapsed="false">
      <c r="A9" s="10" t="s">
        <v>63</v>
      </c>
      <c r="B9" s="30" t="n">
        <v>0.065</v>
      </c>
    </row>
    <row r="10" customFormat="false" ht="15" hidden="false" customHeight="false" outlineLevel="0" collapsed="false">
      <c r="A10" s="10" t="s">
        <v>64</v>
      </c>
      <c r="B10" s="23" t="n">
        <v>5</v>
      </c>
    </row>
    <row r="11" customFormat="false" ht="15" hidden="false" customHeight="false" outlineLevel="0" collapsed="false">
      <c r="A11" s="36" t="s">
        <v>65</v>
      </c>
      <c r="B11" s="37" t="n">
        <f aca="false">B7+(B10-B6)/(B8-B6)*(B9-B7)</f>
        <v>0.064</v>
      </c>
    </row>
    <row r="13" customFormat="false" ht="15" hidden="false" customHeight="false" outlineLevel="0" collapsed="false">
      <c r="A13" s="20" t="s">
        <v>66</v>
      </c>
      <c r="B13" s="21"/>
      <c r="C13" s="21"/>
      <c r="D13" s="21"/>
    </row>
    <row r="14" customFormat="false" ht="31.5" hidden="false" customHeight="true" outlineLevel="0" collapsed="false">
      <c r="A14" s="29" t="s">
        <v>67</v>
      </c>
      <c r="B14" s="29" t="s">
        <v>68</v>
      </c>
      <c r="C14" s="29"/>
      <c r="D14" s="29" t="s">
        <v>69</v>
      </c>
    </row>
    <row r="15" customFormat="false" ht="26.85" hidden="false" customHeight="false" outlineLevel="0" collapsed="false">
      <c r="A15" s="10" t="s">
        <v>70</v>
      </c>
      <c r="B15" s="24" t="n">
        <v>0.0065</v>
      </c>
      <c r="D15" s="10" t="s">
        <v>71</v>
      </c>
    </row>
    <row r="16" customFormat="false" ht="15" hidden="false" customHeight="false" outlineLevel="0" collapsed="false">
      <c r="A16" s="10" t="s">
        <v>72</v>
      </c>
      <c r="B16" s="24" t="n">
        <v>0.001</v>
      </c>
      <c r="D16" s="10" t="s">
        <v>73</v>
      </c>
    </row>
    <row r="17" customFormat="false" ht="15" hidden="false" customHeight="false" outlineLevel="0" collapsed="false">
      <c r="A17" s="10" t="s">
        <v>74</v>
      </c>
      <c r="B17" s="24" t="n">
        <v>0</v>
      </c>
      <c r="D17" s="10" t="s">
        <v>75</v>
      </c>
    </row>
    <row r="18" customFormat="false" ht="15" hidden="false" customHeight="false" outlineLevel="0" collapsed="false">
      <c r="A18" s="10" t="s">
        <v>76</v>
      </c>
      <c r="B18" s="24" t="n">
        <v>0.0005</v>
      </c>
      <c r="D18" s="10" t="s">
        <v>77</v>
      </c>
    </row>
    <row r="19" customFormat="false" ht="26.85" hidden="false" customHeight="false" outlineLevel="0" collapsed="false">
      <c r="A19" s="36" t="s">
        <v>78</v>
      </c>
      <c r="B19" s="38" t="n">
        <f aca="false">B11+SUM(B15:B18)</f>
        <v>0.072</v>
      </c>
    </row>
    <row r="21" customFormat="false" ht="15" hidden="false" customHeight="false" outlineLevel="0" collapsed="false">
      <c r="A21" s="20" t="s">
        <v>79</v>
      </c>
      <c r="B21" s="21"/>
      <c r="C21" s="21"/>
      <c r="D21" s="21"/>
    </row>
    <row r="22" customFormat="false" ht="15" hidden="false" customHeight="false" outlineLevel="0" collapsed="false">
      <c r="A22" s="10" t="s">
        <v>80</v>
      </c>
      <c r="B22" s="30" t="n">
        <v>0.071</v>
      </c>
    </row>
    <row r="23" customFormat="false" ht="15" hidden="false" customHeight="false" outlineLevel="0" collapsed="false">
      <c r="A23" s="36" t="s">
        <v>81</v>
      </c>
      <c r="B23" s="31" t="n">
        <f aca="false">-PV(B19,B10,B22*100,100)</f>
        <v>99.592166610937</v>
      </c>
    </row>
  </sheetData>
  <printOptions headings="false" gridLines="false" gridLinesSet="true" horizontalCentered="false" verticalCentered="false"/>
  <pageMargins left="0.75" right="0.75" top="1" bottom="1" header="0.5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>&amp;L&amp;"Arial,Bold"&amp;K123157The Mountain Path Academy&amp;R&amp;"Arial,Regular"&amp;A</oddHeader>
    <oddFooter>&amp;L&amp;"Arial,Regular"https://themountainpathacademy.com&amp;R&amp;"Arial,Regular"Page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23157"/>
    <pageSetUpPr fitToPage="true"/>
  </sheetPr>
  <dimension ref="A1:H3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4" min="2" style="0" width="18"/>
    <col collapsed="false" customWidth="true" hidden="false" outlineLevel="0" max="5" min="5" style="0" width="16"/>
    <col collapsed="false" customWidth="true" hidden="false" outlineLevel="0" max="6" min="6" style="0" width="20"/>
    <col collapsed="false" customWidth="true" hidden="false" outlineLevel="0" max="7" min="7" style="0" width="22"/>
    <col collapsed="false" customWidth="true" hidden="false" outlineLevel="0" max="8" min="8" style="0" width="14"/>
  </cols>
  <sheetData>
    <row r="1" customFormat="false" ht="19.7" hidden="false" customHeight="false" outlineLevel="0" collapsed="false">
      <c r="A1" s="18" t="s">
        <v>82</v>
      </c>
      <c r="H1" s="19" t="str">
        <f aca="false">HYPERLINK("#'Read Me'!A1","← Contents")</f>
        <v>← Contents</v>
      </c>
    </row>
    <row r="2" customFormat="false" ht="15" hidden="false" customHeight="false" outlineLevel="0" collapsed="false">
      <c r="A2" s="2" t="s">
        <v>83</v>
      </c>
    </row>
    <row r="3" customFormat="false" ht="21.75" hidden="false" customHeight="true" outlineLevel="0" collapsed="false">
      <c r="A3" s="3" t="s">
        <v>2</v>
      </c>
      <c r="B3" s="4"/>
      <c r="C3" s="4"/>
      <c r="D3" s="4"/>
      <c r="E3" s="4"/>
      <c r="F3" s="4"/>
      <c r="G3" s="4"/>
      <c r="H3" s="4"/>
    </row>
    <row r="5" customFormat="false" ht="15" hidden="false" customHeight="false" outlineLevel="0" collapsed="false">
      <c r="A5" s="20" t="s">
        <v>84</v>
      </c>
      <c r="B5" s="21"/>
      <c r="C5" s="21"/>
      <c r="D5" s="21"/>
      <c r="E5" s="21"/>
      <c r="F5" s="21"/>
      <c r="G5" s="21"/>
    </row>
    <row r="6" customFormat="false" ht="15" hidden="false" customHeight="false" outlineLevel="0" collapsed="false">
      <c r="A6" s="10" t="s">
        <v>85</v>
      </c>
      <c r="B6" s="25" t="n">
        <v>10000</v>
      </c>
    </row>
    <row r="7" customFormat="false" ht="15" hidden="false" customHeight="false" outlineLevel="0" collapsed="false">
      <c r="A7" s="10" t="s">
        <v>86</v>
      </c>
      <c r="B7" s="30" t="n">
        <v>0.05</v>
      </c>
      <c r="C7" s="35" t="s">
        <v>87</v>
      </c>
    </row>
    <row r="8" customFormat="false" ht="15" hidden="false" customHeight="false" outlineLevel="0" collapsed="false">
      <c r="A8" s="10" t="s">
        <v>88</v>
      </c>
      <c r="B8" s="32" t="n">
        <f aca="false">B6*B7</f>
        <v>500</v>
      </c>
    </row>
    <row r="9" customFormat="false" ht="15" hidden="false" customHeight="false" outlineLevel="0" collapsed="false">
      <c r="A9" s="36" t="s">
        <v>89</v>
      </c>
      <c r="B9" s="39" t="n">
        <f aca="false">B6-B8</f>
        <v>9500</v>
      </c>
    </row>
    <row r="10" customFormat="false" ht="15" hidden="false" customHeight="false" outlineLevel="0" collapsed="false">
      <c r="A10" s="10" t="s">
        <v>90</v>
      </c>
      <c r="B10" s="23" t="n">
        <v>10</v>
      </c>
    </row>
    <row r="11" customFormat="false" ht="15" hidden="false" customHeight="false" outlineLevel="0" collapsed="false">
      <c r="A11" s="10" t="s">
        <v>41</v>
      </c>
      <c r="B11" s="23" t="n">
        <v>2</v>
      </c>
    </row>
    <row r="13" customFormat="false" ht="15" hidden="false" customHeight="false" outlineLevel="0" collapsed="false">
      <c r="A13" s="20" t="s">
        <v>91</v>
      </c>
      <c r="B13" s="21"/>
      <c r="C13" s="21"/>
      <c r="D13" s="21"/>
      <c r="E13" s="21"/>
      <c r="F13" s="21"/>
      <c r="G13" s="21"/>
    </row>
    <row r="14" customFormat="false" ht="31.5" hidden="false" customHeight="true" outlineLevel="0" collapsed="false">
      <c r="A14" s="29" t="s">
        <v>92</v>
      </c>
      <c r="B14" s="29" t="s">
        <v>93</v>
      </c>
      <c r="C14" s="29" t="s">
        <v>94</v>
      </c>
      <c r="D14" s="29" t="s">
        <v>95</v>
      </c>
      <c r="E14" s="29" t="s">
        <v>96</v>
      </c>
      <c r="F14" s="29" t="s">
        <v>97</v>
      </c>
      <c r="G14" s="29" t="s">
        <v>98</v>
      </c>
    </row>
    <row r="15" customFormat="false" ht="15" hidden="false" customHeight="false" outlineLevel="0" collapsed="false">
      <c r="A15" s="30" t="n">
        <v>0.064</v>
      </c>
      <c r="B15" s="25" t="n">
        <v>1500</v>
      </c>
      <c r="C15" s="32" t="n">
        <f aca="false">SUM($B$15:B15)</f>
        <v>1500</v>
      </c>
      <c r="D15" s="32" t="n">
        <f aca="false">MIN(B15,MAX(0,$B$9-(C15-B15)))</f>
        <v>1500</v>
      </c>
      <c r="E15" s="40" t="n">
        <f aca="false">IF(B15=0,0,D15/B15)</f>
        <v>1</v>
      </c>
      <c r="F15" s="34" t="n">
        <f aca="false">IF(D15&gt;0,-PV(A15/$B$11,$B$10*$B$11,$B$24*100/$B$11,100),"—")</f>
        <v>100.438181875505</v>
      </c>
      <c r="G15" s="32" t="n">
        <f aca="false">IF(D15&gt;0,D15*F15/100,0)</f>
        <v>1506.57272813258</v>
      </c>
    </row>
    <row r="16" customFormat="false" ht="15" hidden="false" customHeight="false" outlineLevel="0" collapsed="false">
      <c r="A16" s="30" t="n">
        <v>0.0642</v>
      </c>
      <c r="B16" s="25" t="n">
        <v>2000</v>
      </c>
      <c r="C16" s="32" t="n">
        <f aca="false">SUM($B$15:B16)</f>
        <v>3500</v>
      </c>
      <c r="D16" s="32" t="n">
        <f aca="false">MIN(B16,MAX(0,$B$9-(C16-B16)))</f>
        <v>2000</v>
      </c>
      <c r="E16" s="40" t="n">
        <f aca="false">IF(B16=0,0,D16/B16)</f>
        <v>1</v>
      </c>
      <c r="F16" s="34" t="n">
        <f aca="false">IF(D16&gt;0,-PV(A16/$B$11,$B$10*$B$11,$B$24*100/$B$11,100),"—")</f>
        <v>100.291853665588</v>
      </c>
      <c r="G16" s="32" t="n">
        <f aca="false">IF(D16&gt;0,D16*F16/100,0)</f>
        <v>2005.83707331176</v>
      </c>
    </row>
    <row r="17" customFormat="false" ht="15" hidden="false" customHeight="false" outlineLevel="0" collapsed="false">
      <c r="A17" s="30" t="n">
        <v>0.0644</v>
      </c>
      <c r="B17" s="25" t="n">
        <v>3000</v>
      </c>
      <c r="C17" s="32" t="n">
        <f aca="false">SUM($B$15:B17)</f>
        <v>6500</v>
      </c>
      <c r="D17" s="32" t="n">
        <f aca="false">MIN(B17,MAX(0,$B$9-(C17-B17)))</f>
        <v>3000</v>
      </c>
      <c r="E17" s="40" t="n">
        <f aca="false">IF(B17=0,0,D17/B17)</f>
        <v>1</v>
      </c>
      <c r="F17" s="34" t="n">
        <f aca="false">IF(D17&gt;0,-PV(A17/$B$11,$B$10*$B$11,$B$24*100/$B$11,100),"—")</f>
        <v>100.145793220528</v>
      </c>
      <c r="G17" s="32" t="n">
        <f aca="false">IF(D17&gt;0,D17*F17/100,0)</f>
        <v>3004.37379661584</v>
      </c>
    </row>
    <row r="18" customFormat="false" ht="15" hidden="false" customHeight="false" outlineLevel="0" collapsed="false">
      <c r="A18" s="30" t="n">
        <v>0.0645</v>
      </c>
      <c r="B18" s="25" t="n">
        <v>2500</v>
      </c>
      <c r="C18" s="32" t="n">
        <f aca="false">SUM($B$15:B18)</f>
        <v>9000</v>
      </c>
      <c r="D18" s="32" t="n">
        <f aca="false">MIN(B18,MAX(0,$B$9-(C18-B18)))</f>
        <v>2500</v>
      </c>
      <c r="E18" s="40" t="n">
        <f aca="false">IF(B18=0,0,D18/B18)</f>
        <v>1</v>
      </c>
      <c r="F18" s="34" t="n">
        <f aca="false">IF(D18&gt;0,-PV(A18/$B$11,$B$10*$B$11,$B$24*100/$B$11,100),"—")</f>
        <v>100.072863240922</v>
      </c>
      <c r="G18" s="32" t="n">
        <f aca="false">IF(D18&gt;0,D18*F18/100,0)</f>
        <v>2501.82158102306</v>
      </c>
    </row>
    <row r="19" customFormat="false" ht="15" hidden="false" customHeight="false" outlineLevel="0" collapsed="false">
      <c r="A19" s="30" t="n">
        <v>0.0646</v>
      </c>
      <c r="B19" s="25" t="n">
        <v>2000</v>
      </c>
      <c r="C19" s="32" t="n">
        <f aca="false">SUM($B$15:B19)</f>
        <v>11000</v>
      </c>
      <c r="D19" s="32" t="n">
        <f aca="false">MIN(B19,MAX(0,$B$9-(C19-B19)))</f>
        <v>500</v>
      </c>
      <c r="E19" s="40" t="n">
        <f aca="false">IF(B19=0,0,D19/B19)</f>
        <v>0.25</v>
      </c>
      <c r="F19" s="34" t="n">
        <f aca="false">IF(D19&gt;0,-PV(A19/$B$11,$B$10*$B$11,$B$24*100/$B$11,100),"—")</f>
        <v>100</v>
      </c>
      <c r="G19" s="32" t="n">
        <f aca="false">IF(D19&gt;0,D19*F19/100,0)</f>
        <v>500</v>
      </c>
    </row>
    <row r="20" customFormat="false" ht="15" hidden="false" customHeight="false" outlineLevel="0" collapsed="false">
      <c r="A20" s="30" t="n">
        <v>0.0648</v>
      </c>
      <c r="B20" s="25" t="n">
        <v>1500</v>
      </c>
      <c r="C20" s="32" t="n">
        <f aca="false">SUM($B$15:B20)</f>
        <v>12500</v>
      </c>
      <c r="D20" s="32" t="n">
        <f aca="false">MIN(B20,MAX(0,$B$9-(C20-B20)))</f>
        <v>0</v>
      </c>
      <c r="E20" s="40" t="n">
        <f aca="false">IF(B20=0,0,D20/B20)</f>
        <v>0</v>
      </c>
      <c r="F20" s="34" t="str">
        <f aca="false">IF(D20&gt;0,-PV(A20/$B$11,$B$10*$B$11,$B$24*100/$B$11,100),"—")</f>
        <v>—</v>
      </c>
      <c r="G20" s="32" t="n">
        <f aca="false">IF(D20&gt;0,D20*F20/100,0)</f>
        <v>0</v>
      </c>
    </row>
    <row r="21" customFormat="false" ht="15" hidden="false" customHeight="false" outlineLevel="0" collapsed="false">
      <c r="A21" s="36" t="s">
        <v>99</v>
      </c>
      <c r="B21" s="39" t="n">
        <f aca="false">SUM(B15:B20)</f>
        <v>12500</v>
      </c>
      <c r="D21" s="39" t="n">
        <f aca="false">SUM(D15:D20)</f>
        <v>9500</v>
      </c>
      <c r="G21" s="39" t="n">
        <f aca="false">SUM(G15:G20)</f>
        <v>9518.60517908323</v>
      </c>
    </row>
    <row r="23" customFormat="false" ht="15" hidden="false" customHeight="false" outlineLevel="0" collapsed="false">
      <c r="A23" s="20" t="s">
        <v>100</v>
      </c>
      <c r="B23" s="21"/>
      <c r="C23" s="21"/>
      <c r="D23" s="21"/>
      <c r="E23" s="21"/>
      <c r="F23" s="21"/>
      <c r="G23" s="21"/>
    </row>
    <row r="24" customFormat="false" ht="15" hidden="false" customHeight="false" outlineLevel="0" collapsed="false">
      <c r="A24" s="36" t="s">
        <v>101</v>
      </c>
      <c r="B24" s="38" t="n">
        <f aca="false">SUMPRODUCT((C15:C20&gt;=$B$9)*((C15:C20-B15:B20)&lt;$B$9)*A15:A20)</f>
        <v>0.0646</v>
      </c>
      <c r="C24" s="35" t="s">
        <v>102</v>
      </c>
    </row>
    <row r="25" customFormat="false" ht="15" hidden="false" customHeight="false" outlineLevel="0" collapsed="false">
      <c r="A25" s="10" t="s">
        <v>103</v>
      </c>
      <c r="B25" s="40" t="n">
        <f aca="false">SUMPRODUCT((A15:A20=B24)*E15:E20)</f>
        <v>0.25</v>
      </c>
    </row>
    <row r="26" customFormat="false" ht="15" hidden="false" customHeight="false" outlineLevel="0" collapsed="false">
      <c r="A26" s="36" t="s">
        <v>104</v>
      </c>
      <c r="B26" s="31" t="n">
        <f aca="false">SUMPRODUCT(D15:D20,N(+F15:F20))/D21</f>
        <v>100.19584399035</v>
      </c>
    </row>
    <row r="27" customFormat="false" ht="15" hidden="false" customHeight="false" outlineLevel="0" collapsed="false">
      <c r="A27" s="10" t="s">
        <v>105</v>
      </c>
      <c r="B27" s="27" t="n">
        <f aca="false">SUMPRODUCT(A15:A20,D15:D20)/D21</f>
        <v>0.0643315789473684</v>
      </c>
    </row>
    <row r="28" customFormat="false" ht="15" hidden="false" customHeight="false" outlineLevel="0" collapsed="false">
      <c r="A28" s="10" t="s">
        <v>106</v>
      </c>
      <c r="B28" s="32" t="n">
        <f aca="false">B8*B26/100</f>
        <v>500.979219951749</v>
      </c>
      <c r="C28" s="35" t="s">
        <v>107</v>
      </c>
    </row>
    <row r="29" customFormat="false" ht="30" hidden="false" customHeight="true" outlineLevel="0" collapsed="false">
      <c r="A29" s="36" t="s">
        <v>108</v>
      </c>
      <c r="B29" s="41" t="n">
        <f aca="false">G21</f>
        <v>9518.60517908323</v>
      </c>
    </row>
    <row r="30" customFormat="false" ht="15" hidden="false" customHeight="false" outlineLevel="0" collapsed="false">
      <c r="A30" s="10" t="s">
        <v>109</v>
      </c>
      <c r="B30" s="32" t="n">
        <f aca="false">D21*-PV(B24/B11,B10*B11,B24*100/B11,100)/100</f>
        <v>9500</v>
      </c>
    </row>
    <row r="31" customFormat="false" ht="15" hidden="false" customHeight="false" outlineLevel="0" collapsed="false">
      <c r="A31" s="10" t="s">
        <v>110</v>
      </c>
      <c r="B31" s="32" t="n">
        <f aca="false">B29-B30</f>
        <v>18.6051790832316</v>
      </c>
      <c r="C31" s="35" t="s">
        <v>111</v>
      </c>
    </row>
  </sheetData>
  <printOptions headings="false" gridLines="false" gridLinesSet="true" horizontalCentered="false" verticalCentered="false"/>
  <pageMargins left="0.75" right="0.75" top="1" bottom="1" header="0.5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>&amp;L&amp;"Arial,Bold"&amp;K123157The Mountain Path Academy&amp;R&amp;"Arial,Regular"&amp;A</oddHeader>
    <oddFooter>&amp;L&amp;"Arial,Regular"https://themountainpathacademy.com&amp;R&amp;"Arial,Regular"Page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23157"/>
    <pageSetUpPr fitToPage="true"/>
  </sheetPr>
  <dimension ref="A1:E2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3" min="2" style="0" width="16"/>
    <col collapsed="false" customWidth="true" hidden="false" outlineLevel="0" max="4" min="4" style="0" width="40"/>
    <col collapsed="false" customWidth="true" hidden="false" outlineLevel="0" max="5" min="5" style="0" width="14"/>
    <col collapsed="false" customWidth="true" hidden="false" outlineLevel="0" max="8" min="8" style="0" width="16"/>
  </cols>
  <sheetData>
    <row r="1" customFormat="false" ht="19.7" hidden="false" customHeight="false" outlineLevel="0" collapsed="false">
      <c r="A1" s="18" t="s">
        <v>112</v>
      </c>
      <c r="E1" s="19" t="str">
        <f aca="false">HYPERLINK("#'Read Me'!A1","← Contents")</f>
        <v>← Contents</v>
      </c>
    </row>
    <row r="2" customFormat="false" ht="15" hidden="false" customHeight="false" outlineLevel="0" collapsed="false">
      <c r="A2" s="2" t="s">
        <v>113</v>
      </c>
    </row>
    <row r="3" customFormat="false" ht="21.75" hidden="false" customHeight="true" outlineLevel="0" collapsed="false">
      <c r="A3" s="3" t="s">
        <v>2</v>
      </c>
      <c r="B3" s="4"/>
      <c r="C3" s="4"/>
      <c r="D3" s="4"/>
      <c r="E3" s="4"/>
    </row>
    <row r="5" customFormat="false" ht="15" hidden="false" customHeight="false" outlineLevel="0" collapsed="false">
      <c r="A5" s="20" t="s">
        <v>114</v>
      </c>
      <c r="B5" s="21"/>
      <c r="C5" s="21"/>
      <c r="D5" s="21"/>
    </row>
    <row r="6" customFormat="false" ht="15" hidden="false" customHeight="false" outlineLevel="0" collapsed="false">
      <c r="A6" s="10" t="s">
        <v>115</v>
      </c>
      <c r="B6" s="30" t="n">
        <v>0.073</v>
      </c>
    </row>
    <row r="7" customFormat="false" ht="15" hidden="false" customHeight="false" outlineLevel="0" collapsed="false">
      <c r="A7" s="10" t="s">
        <v>116</v>
      </c>
      <c r="B7" s="23" t="n">
        <v>7</v>
      </c>
    </row>
    <row r="8" customFormat="false" ht="15" hidden="false" customHeight="false" outlineLevel="0" collapsed="false">
      <c r="A8" s="10" t="s">
        <v>117</v>
      </c>
      <c r="B8" s="24" t="n">
        <v>0.071</v>
      </c>
    </row>
    <row r="9" customFormat="false" ht="15" hidden="false" customHeight="false" outlineLevel="0" collapsed="false">
      <c r="A9" s="36" t="s">
        <v>118</v>
      </c>
      <c r="B9" s="31" t="n">
        <f aca="false">-PV(B8/2,B7*2,B6*100/2,100)</f>
        <v>101.088398153374</v>
      </c>
    </row>
    <row r="10" customFormat="false" ht="15" hidden="false" customHeight="false" outlineLevel="0" collapsed="false">
      <c r="A10" s="10" t="s">
        <v>119</v>
      </c>
      <c r="B10" s="13" t="str">
        <f aca="false">IF(B9&gt;100,"Premium",IF(B9&lt;100,"Discount","Par"))</f>
        <v>Premium</v>
      </c>
    </row>
    <row r="12" customFormat="false" ht="15" hidden="false" customHeight="false" outlineLevel="0" collapsed="false">
      <c r="A12" s="20" t="s">
        <v>120</v>
      </c>
      <c r="B12" s="21"/>
      <c r="C12" s="21"/>
      <c r="D12" s="21"/>
    </row>
    <row r="13" customFormat="false" ht="15" hidden="false" customHeight="false" outlineLevel="0" collapsed="false">
      <c r="A13" s="10" t="s">
        <v>121</v>
      </c>
      <c r="B13" s="22" t="n">
        <v>99.5</v>
      </c>
    </row>
    <row r="14" customFormat="false" ht="15" hidden="false" customHeight="false" outlineLevel="0" collapsed="false">
      <c r="A14" s="10" t="s">
        <v>122</v>
      </c>
      <c r="B14" s="23" t="n">
        <v>72</v>
      </c>
    </row>
    <row r="15" customFormat="false" ht="15" hidden="false" customHeight="false" outlineLevel="0" collapsed="false">
      <c r="A15" s="10" t="s">
        <v>123</v>
      </c>
      <c r="B15" s="23" t="n">
        <v>180</v>
      </c>
    </row>
    <row r="16" customFormat="false" ht="15" hidden="false" customHeight="false" outlineLevel="0" collapsed="false">
      <c r="A16" s="10" t="s">
        <v>124</v>
      </c>
      <c r="B16" s="30" t="n">
        <v>0.06</v>
      </c>
    </row>
    <row r="17" customFormat="false" ht="15" hidden="false" customHeight="false" outlineLevel="0" collapsed="false">
      <c r="A17" s="10" t="s">
        <v>125</v>
      </c>
      <c r="B17" s="28" t="n">
        <f aca="false">100*B16/2*B14/B15</f>
        <v>1.2</v>
      </c>
    </row>
    <row r="18" customFormat="false" ht="15" hidden="false" customHeight="false" outlineLevel="0" collapsed="false">
      <c r="A18" s="36" t="s">
        <v>126</v>
      </c>
      <c r="B18" s="42" t="n">
        <f aca="false">B13+B17</f>
        <v>100.7</v>
      </c>
    </row>
    <row r="20" customFormat="false" ht="15" hidden="false" customHeight="false" outlineLevel="0" collapsed="false">
      <c r="A20" s="20" t="s">
        <v>127</v>
      </c>
      <c r="B20" s="21"/>
      <c r="C20" s="21"/>
      <c r="D20" s="21"/>
    </row>
    <row r="21" customFormat="false" ht="15" hidden="false" customHeight="false" outlineLevel="0" collapsed="false">
      <c r="A21" s="10" t="s">
        <v>128</v>
      </c>
      <c r="B21" s="30" t="n">
        <v>0.065</v>
      </c>
    </row>
    <row r="22" customFormat="false" ht="15" hidden="false" customHeight="false" outlineLevel="0" collapsed="false">
      <c r="A22" s="10" t="s">
        <v>129</v>
      </c>
      <c r="B22" s="24" t="n">
        <v>0.004</v>
      </c>
      <c r="C22" s="35" t="s">
        <v>130</v>
      </c>
    </row>
    <row r="23" customFormat="false" ht="15" hidden="false" customHeight="false" outlineLevel="0" collapsed="false">
      <c r="A23" s="36" t="s">
        <v>131</v>
      </c>
      <c r="B23" s="38" t="n">
        <f aca="false">B21+B22</f>
        <v>0.069</v>
      </c>
    </row>
    <row r="24" customFormat="false" ht="15" hidden="false" customHeight="false" outlineLevel="0" collapsed="false">
      <c r="A24" s="10" t="s">
        <v>132</v>
      </c>
      <c r="B24" s="30" t="n">
        <v>0.0695</v>
      </c>
    </row>
    <row r="25" customFormat="false" ht="15" hidden="false" customHeight="false" outlineLevel="0" collapsed="false">
      <c r="A25" s="10" t="s">
        <v>133</v>
      </c>
      <c r="B25" s="30" t="n">
        <v>0.069</v>
      </c>
    </row>
    <row r="26" customFormat="false" ht="15" hidden="false" customHeight="false" outlineLevel="0" collapsed="false">
      <c r="A26" s="10" t="s">
        <v>134</v>
      </c>
      <c r="B26" s="23" t="n">
        <v>10</v>
      </c>
    </row>
    <row r="27" customFormat="false" ht="15" hidden="false" customHeight="false" outlineLevel="0" collapsed="false">
      <c r="A27" s="36" t="s">
        <v>135</v>
      </c>
      <c r="B27" s="31" t="n">
        <f aca="false">-PV(B24/2,B26*2,B25*100/2,100)</f>
        <v>99.6438848255181</v>
      </c>
    </row>
  </sheetData>
  <printOptions headings="false" gridLines="false" gridLinesSet="true" horizontalCentered="false" verticalCentered="false"/>
  <pageMargins left="0.75" right="0.75" top="1" bottom="1" header="0.5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>&amp;L&amp;"Arial,Bold"&amp;K123157The Mountain Path Academy&amp;R&amp;"Arial,Regular"&amp;A</oddHeader>
    <oddFooter>&amp;L&amp;"Arial,Regular"https://themountainpathacademy.com&amp;R&amp;"Arial,Regular"Page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23157"/>
    <pageSetUpPr fitToPage="true"/>
  </sheetPr>
  <dimension ref="A1:H4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2" min="2" style="0" width="14"/>
    <col collapsed="false" customWidth="true" hidden="false" outlineLevel="0" max="3" min="3" style="0" width="16"/>
    <col collapsed="false" customWidth="true" hidden="false" outlineLevel="0" max="4" min="4" style="0" width="18"/>
    <col collapsed="false" customWidth="true" hidden="false" outlineLevel="0" max="7" min="5" style="0" width="20"/>
    <col collapsed="false" customWidth="true" hidden="false" outlineLevel="0" max="8" min="8" style="0" width="14"/>
  </cols>
  <sheetData>
    <row r="1" customFormat="false" ht="19.7" hidden="false" customHeight="false" outlineLevel="0" collapsed="false">
      <c r="A1" s="18" t="s">
        <v>136</v>
      </c>
      <c r="H1" s="19" t="str">
        <f aca="false">HYPERLINK("#'Read Me'!A1","← Contents")</f>
        <v>← Contents</v>
      </c>
    </row>
    <row r="2" customFormat="false" ht="15" hidden="false" customHeight="false" outlineLevel="0" collapsed="false">
      <c r="A2" s="2" t="s">
        <v>137</v>
      </c>
    </row>
    <row r="3" customFormat="false" ht="21.75" hidden="false" customHeight="true" outlineLevel="0" collapsed="false">
      <c r="A3" s="3" t="s">
        <v>2</v>
      </c>
      <c r="B3" s="4"/>
      <c r="C3" s="4"/>
      <c r="D3" s="4"/>
      <c r="E3" s="4"/>
      <c r="F3" s="4"/>
      <c r="G3" s="4"/>
      <c r="H3" s="4"/>
    </row>
    <row r="5" customFormat="false" ht="15" hidden="false" customHeight="false" outlineLevel="0" collapsed="false">
      <c r="A5" s="20" t="s">
        <v>138</v>
      </c>
      <c r="B5" s="21"/>
      <c r="C5" s="21"/>
      <c r="D5" s="21"/>
      <c r="E5" s="21"/>
      <c r="F5" s="21"/>
      <c r="G5" s="21"/>
    </row>
    <row r="6" customFormat="false" ht="31.5" hidden="false" customHeight="true" outlineLevel="0" collapsed="false">
      <c r="A6" s="29" t="s">
        <v>139</v>
      </c>
      <c r="B6" s="29" t="s">
        <v>140</v>
      </c>
      <c r="C6" s="29" t="s">
        <v>141</v>
      </c>
      <c r="D6" s="29" t="s">
        <v>142</v>
      </c>
      <c r="E6" s="29" t="s">
        <v>143</v>
      </c>
      <c r="F6" s="29" t="s">
        <v>144</v>
      </c>
      <c r="G6" s="29" t="s">
        <v>145</v>
      </c>
    </row>
    <row r="7" customFormat="false" ht="15" hidden="false" customHeight="false" outlineLevel="0" collapsed="false">
      <c r="A7" s="10" t="s">
        <v>146</v>
      </c>
      <c r="B7" s="23" t="n">
        <v>91</v>
      </c>
      <c r="C7" s="25" t="n">
        <v>9000</v>
      </c>
      <c r="D7" s="43" t="n">
        <v>98.7055</v>
      </c>
      <c r="E7" s="44" t="n">
        <f aca="false">(100-D7)/D7*365/B7</f>
        <v>0.0526032011866134</v>
      </c>
      <c r="F7" s="27" t="n">
        <f aca="false">(100-D7)/100*360/B7</f>
        <v>0.051210989010989</v>
      </c>
      <c r="G7" s="27" t="n">
        <f aca="false">(100-D7)/100*365/B7</f>
        <v>0.0519222527472527</v>
      </c>
    </row>
    <row r="8" customFormat="false" ht="15" hidden="false" customHeight="false" outlineLevel="0" collapsed="false">
      <c r="A8" s="10" t="s">
        <v>147</v>
      </c>
      <c r="B8" s="23" t="n">
        <v>182</v>
      </c>
      <c r="C8" s="25" t="n">
        <v>8000</v>
      </c>
      <c r="D8" s="43" t="n">
        <v>97.2987</v>
      </c>
      <c r="E8" s="44" t="n">
        <f aca="false">(100-D8)/D8*365/B8</f>
        <v>0.0556784654645161</v>
      </c>
      <c r="F8" s="27" t="n">
        <f aca="false">(100-D8)/100*360/B8</f>
        <v>0.0534323076923078</v>
      </c>
      <c r="G8" s="27" t="n">
        <f aca="false">(100-D8)/100*365/B8</f>
        <v>0.0541744230769232</v>
      </c>
    </row>
    <row r="9" customFormat="false" ht="15" hidden="false" customHeight="false" outlineLevel="0" collapsed="false">
      <c r="A9" s="10" t="s">
        <v>148</v>
      </c>
      <c r="B9" s="23" t="n">
        <v>364</v>
      </c>
      <c r="C9" s="25" t="n">
        <v>7000</v>
      </c>
      <c r="D9" s="43" t="n">
        <v>94.5881</v>
      </c>
      <c r="E9" s="44" t="n">
        <f aca="false">(100-D9)/D9*365/B9</f>
        <v>0.0573726278162143</v>
      </c>
      <c r="F9" s="27" t="n">
        <f aca="false">(100-D9)/100*360/B9</f>
        <v>0.0535242857142857</v>
      </c>
      <c r="G9" s="27" t="n">
        <f aca="false">(100-D9)/100*365/B9</f>
        <v>0.0542676785714286</v>
      </c>
    </row>
    <row r="10" customFormat="false" ht="15" hidden="false" customHeight="false" outlineLevel="0" collapsed="false">
      <c r="A10" s="35" t="s">
        <v>149</v>
      </c>
    </row>
    <row r="12" customFormat="false" ht="15" hidden="false" customHeight="false" outlineLevel="0" collapsed="false">
      <c r="A12" s="20" t="s">
        <v>150</v>
      </c>
      <c r="B12" s="21"/>
      <c r="C12" s="21"/>
      <c r="D12" s="21"/>
      <c r="E12" s="21"/>
      <c r="F12" s="21"/>
      <c r="G12" s="21"/>
    </row>
    <row r="13" customFormat="false" ht="31.5" hidden="false" customHeight="true" outlineLevel="0" collapsed="false">
      <c r="A13" s="29" t="s">
        <v>139</v>
      </c>
      <c r="B13" s="29" t="s">
        <v>151</v>
      </c>
      <c r="C13" s="29" t="s">
        <v>152</v>
      </c>
      <c r="D13" s="29" t="s">
        <v>153</v>
      </c>
      <c r="E13" s="29" t="s">
        <v>154</v>
      </c>
      <c r="F13" s="29"/>
      <c r="G13" s="29"/>
    </row>
    <row r="14" customFormat="false" ht="15" hidden="false" customHeight="false" outlineLevel="0" collapsed="false">
      <c r="A14" s="13" t="str">
        <f aca="false">A7</f>
        <v>91-day</v>
      </c>
      <c r="B14" s="32" t="n">
        <f aca="false">C7*D7/100</f>
        <v>8883.495</v>
      </c>
      <c r="C14" s="32" t="n">
        <f aca="false">C7</f>
        <v>9000</v>
      </c>
      <c r="D14" s="32" t="n">
        <f aca="false">C14-B14</f>
        <v>116.504999999999</v>
      </c>
      <c r="E14" s="27" t="n">
        <f aca="false">(100/D7)^(365/B7)-1</f>
        <v>0.0536509710190434</v>
      </c>
    </row>
    <row r="15" customFormat="false" ht="15" hidden="false" customHeight="false" outlineLevel="0" collapsed="false">
      <c r="A15" s="13" t="str">
        <f aca="false">A8</f>
        <v>182-day</v>
      </c>
      <c r="B15" s="32" t="n">
        <f aca="false">C8*D8/100</f>
        <v>7783.896</v>
      </c>
      <c r="C15" s="32" t="n">
        <f aca="false">C8</f>
        <v>8000</v>
      </c>
      <c r="D15" s="32" t="n">
        <f aca="false">C15-B15</f>
        <v>216.104</v>
      </c>
      <c r="E15" s="27" t="n">
        <f aca="false">(100/D8)^(365/B8)-1</f>
        <v>0.0564556509404695</v>
      </c>
    </row>
    <row r="16" customFormat="false" ht="15" hidden="false" customHeight="false" outlineLevel="0" collapsed="false">
      <c r="A16" s="13" t="str">
        <f aca="false">A9</f>
        <v>364-day</v>
      </c>
      <c r="B16" s="32" t="n">
        <f aca="false">C9*D9/100</f>
        <v>6621.167</v>
      </c>
      <c r="C16" s="32" t="n">
        <f aca="false">C9</f>
        <v>7000</v>
      </c>
      <c r="D16" s="32" t="n">
        <f aca="false">C16-B16</f>
        <v>378.833000000001</v>
      </c>
      <c r="E16" s="27" t="n">
        <f aca="false">(100/D9)^(365/B9)-1</f>
        <v>0.0573770534917946</v>
      </c>
    </row>
    <row r="17" customFormat="false" ht="15" hidden="false" customHeight="false" outlineLevel="0" collapsed="false">
      <c r="A17" s="35" t="s">
        <v>155</v>
      </c>
    </row>
    <row r="19" customFormat="false" ht="15" hidden="false" customHeight="false" outlineLevel="0" collapsed="false">
      <c r="A19" s="20" t="s">
        <v>156</v>
      </c>
      <c r="B19" s="21"/>
      <c r="C19" s="21"/>
      <c r="D19" s="21"/>
      <c r="E19" s="21"/>
      <c r="F19" s="21"/>
      <c r="G19" s="21"/>
    </row>
    <row r="20" customFormat="false" ht="15" hidden="false" customHeight="false" outlineLevel="0" collapsed="false">
      <c r="A20" s="10" t="s">
        <v>157</v>
      </c>
      <c r="B20" s="23" t="n">
        <v>91</v>
      </c>
    </row>
    <row r="21" customFormat="false" ht="15" hidden="false" customHeight="false" outlineLevel="0" collapsed="false">
      <c r="A21" s="10" t="s">
        <v>158</v>
      </c>
      <c r="B21" s="24" t="n">
        <v>0.0526</v>
      </c>
    </row>
    <row r="22" customFormat="false" ht="15" hidden="false" customHeight="false" outlineLevel="0" collapsed="false">
      <c r="A22" s="36" t="s">
        <v>159</v>
      </c>
      <c r="B22" s="31" t="n">
        <f aca="false">100/(1+B21*B20/365)</f>
        <v>98.7055777575499</v>
      </c>
    </row>
    <row r="24" customFormat="false" ht="15" hidden="false" customHeight="false" outlineLevel="0" collapsed="false">
      <c r="A24" s="20" t="s">
        <v>160</v>
      </c>
      <c r="B24" s="21"/>
      <c r="C24" s="21"/>
      <c r="D24" s="21"/>
      <c r="E24" s="21"/>
      <c r="F24" s="21"/>
      <c r="G24" s="21"/>
    </row>
    <row r="25" customFormat="false" ht="15" hidden="false" customHeight="false" outlineLevel="0" collapsed="false">
      <c r="A25" s="10" t="s">
        <v>157</v>
      </c>
      <c r="B25" s="23" t="n">
        <v>182</v>
      </c>
    </row>
    <row r="26" customFormat="false" ht="15" hidden="false" customHeight="false" outlineLevel="0" collapsed="false">
      <c r="A26" s="10" t="s">
        <v>161</v>
      </c>
      <c r="B26" s="45" t="n">
        <v>97.3</v>
      </c>
    </row>
    <row r="27" customFormat="false" ht="15" hidden="false" customHeight="false" outlineLevel="0" collapsed="false">
      <c r="A27" s="36" t="s">
        <v>162</v>
      </c>
      <c r="B27" s="44" t="n">
        <f aca="false">(100-B26)/B26*365/B25</f>
        <v>0.0556509266683985</v>
      </c>
    </row>
    <row r="28" customFormat="false" ht="15" hidden="false" customHeight="false" outlineLevel="0" collapsed="false">
      <c r="A28" s="10" t="s">
        <v>163</v>
      </c>
      <c r="B28" s="27" t="n">
        <f aca="false">(100-B26)/100*360/B25</f>
        <v>0.0534065934065935</v>
      </c>
    </row>
    <row r="29" customFormat="false" ht="15" hidden="false" customHeight="false" outlineLevel="0" collapsed="false">
      <c r="A29" s="10" t="s">
        <v>154</v>
      </c>
      <c r="B29" s="27" t="n">
        <f aca="false">(100/B26)^(365/B25)-1</f>
        <v>0.056427343517004</v>
      </c>
    </row>
    <row r="31" customFormat="false" ht="15" hidden="false" customHeight="false" outlineLevel="0" collapsed="false">
      <c r="A31" s="20" t="s">
        <v>164</v>
      </c>
      <c r="B31" s="21"/>
      <c r="C31" s="21"/>
      <c r="D31" s="21"/>
      <c r="E31" s="21"/>
      <c r="F31" s="21"/>
      <c r="G31" s="21"/>
    </row>
    <row r="32" customFormat="false" ht="15" hidden="false" customHeight="false" outlineLevel="0" collapsed="false">
      <c r="A32" s="10" t="s">
        <v>165</v>
      </c>
      <c r="B32" s="23" t="n">
        <v>364</v>
      </c>
    </row>
    <row r="33" customFormat="false" ht="15" hidden="false" customHeight="false" outlineLevel="0" collapsed="false">
      <c r="A33" s="10" t="s">
        <v>166</v>
      </c>
      <c r="B33" s="46" t="n">
        <v>0.057373</v>
      </c>
    </row>
    <row r="34" customFormat="false" ht="15" hidden="false" customHeight="false" outlineLevel="0" collapsed="false">
      <c r="A34" s="10" t="s">
        <v>167</v>
      </c>
      <c r="B34" s="34" t="n">
        <f aca="false">100/(1+B33*B32/365)</f>
        <v>94.5880667922983</v>
      </c>
    </row>
    <row r="35" customFormat="false" ht="15" hidden="false" customHeight="false" outlineLevel="0" collapsed="false">
      <c r="A35" s="10" t="s">
        <v>168</v>
      </c>
      <c r="B35" s="23" t="n">
        <v>91</v>
      </c>
    </row>
    <row r="36" customFormat="false" ht="15" hidden="false" customHeight="false" outlineLevel="0" collapsed="false">
      <c r="A36" s="10" t="s">
        <v>169</v>
      </c>
      <c r="B36" s="47" t="n">
        <v>0.055</v>
      </c>
    </row>
    <row r="37" customFormat="false" ht="15" hidden="false" customHeight="false" outlineLevel="0" collapsed="false">
      <c r="A37" s="10" t="s">
        <v>170</v>
      </c>
      <c r="B37" s="34" t="n">
        <f aca="false">100/(1+B36*(B32-B35)/365)</f>
        <v>96.0488401773614</v>
      </c>
    </row>
    <row r="38" customFormat="false" ht="26.85" hidden="false" customHeight="false" outlineLevel="0" collapsed="false">
      <c r="A38" s="36" t="s">
        <v>171</v>
      </c>
      <c r="B38" s="44" t="n">
        <f aca="false">(B37-B34)/B34*365/B35</f>
        <v>0.061943818007183</v>
      </c>
    </row>
    <row r="39" customFormat="false" ht="15" hidden="false" customHeight="false" outlineLevel="0" collapsed="false">
      <c r="A39" s="35" t="s">
        <v>172</v>
      </c>
    </row>
    <row r="41" customFormat="false" ht="15" hidden="false" customHeight="false" outlineLevel="0" collapsed="false">
      <c r="A41" s="20" t="s">
        <v>173</v>
      </c>
      <c r="B41" s="21"/>
      <c r="C41" s="21"/>
      <c r="D41" s="21"/>
      <c r="E41" s="21"/>
      <c r="F41" s="21"/>
      <c r="G41" s="21"/>
    </row>
    <row r="42" customFormat="false" ht="15" hidden="false" customHeight="false" outlineLevel="0" collapsed="false">
      <c r="A42" s="10" t="s">
        <v>157</v>
      </c>
      <c r="B42" s="23" t="n">
        <v>35</v>
      </c>
    </row>
    <row r="43" customFormat="false" ht="15" hidden="false" customHeight="false" outlineLevel="0" collapsed="false">
      <c r="A43" s="10" t="s">
        <v>142</v>
      </c>
      <c r="B43" s="43" t="n">
        <v>99.5</v>
      </c>
    </row>
    <row r="44" customFormat="false" ht="15" hidden="false" customHeight="false" outlineLevel="0" collapsed="false">
      <c r="A44" s="36" t="s">
        <v>162</v>
      </c>
      <c r="B44" s="44" t="n">
        <f aca="false">(100-B43)/B43*365/B42</f>
        <v>0.0524048815506102</v>
      </c>
    </row>
  </sheetData>
  <printOptions headings="false" gridLines="false" gridLinesSet="true" horizontalCentered="false" verticalCentered="false"/>
  <pageMargins left="0.75" right="0.75" top="1" bottom="1" header="0.5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>&amp;L&amp;"Arial,Bold"&amp;K123157The Mountain Path Academy&amp;R&amp;"Arial,Regular"&amp;A</oddHeader>
    <oddFooter>&amp;L&amp;"Arial,Regular"https://themountainpathacademy.com&amp;R&amp;"Arial,Regular"Page &amp;P of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23157"/>
    <pageSetUpPr fitToPage="true"/>
  </sheetPr>
  <dimension ref="A1:H2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0"/>
    <col collapsed="false" customWidth="true" hidden="false" outlineLevel="0" max="4" min="2" style="0" width="16"/>
    <col collapsed="false" customWidth="true" hidden="false" outlineLevel="0" max="5" min="5" style="0" width="14"/>
    <col collapsed="false" customWidth="true" hidden="false" outlineLevel="0" max="7" min="6" style="0" width="18"/>
    <col collapsed="false" customWidth="true" hidden="false" outlineLevel="0" max="8" min="8" style="0" width="14"/>
  </cols>
  <sheetData>
    <row r="1" customFormat="false" ht="19.7" hidden="false" customHeight="false" outlineLevel="0" collapsed="false">
      <c r="A1" s="18" t="s">
        <v>174</v>
      </c>
      <c r="H1" s="19" t="str">
        <f aca="false">HYPERLINK("#'Read Me'!A1","← Contents")</f>
        <v>← Contents</v>
      </c>
    </row>
    <row r="2" customFormat="false" ht="15" hidden="false" customHeight="false" outlineLevel="0" collapsed="false">
      <c r="A2" s="2" t="s">
        <v>175</v>
      </c>
    </row>
    <row r="3" customFormat="false" ht="21.75" hidden="false" customHeight="true" outlineLevel="0" collapsed="false">
      <c r="A3" s="3" t="s">
        <v>2</v>
      </c>
      <c r="B3" s="4"/>
      <c r="C3" s="4"/>
      <c r="D3" s="4"/>
      <c r="E3" s="4"/>
      <c r="F3" s="4"/>
      <c r="G3" s="4"/>
      <c r="H3" s="4"/>
    </row>
    <row r="5" customFormat="false" ht="15" hidden="false" customHeight="false" outlineLevel="0" collapsed="false">
      <c r="A5" s="20" t="s">
        <v>176</v>
      </c>
      <c r="B5" s="21"/>
      <c r="C5" s="21"/>
      <c r="D5" s="21"/>
      <c r="E5" s="21"/>
      <c r="F5" s="21"/>
      <c r="G5" s="21"/>
    </row>
    <row r="6" customFormat="false" ht="15" hidden="false" customHeight="false" outlineLevel="0" collapsed="false">
      <c r="A6" s="10" t="s">
        <v>177</v>
      </c>
      <c r="B6" s="25" t="n">
        <v>500</v>
      </c>
    </row>
    <row r="7" customFormat="false" ht="15" hidden="false" customHeight="false" outlineLevel="0" collapsed="false">
      <c r="A7" s="10" t="s">
        <v>178</v>
      </c>
      <c r="B7" s="25" t="n">
        <v>250</v>
      </c>
    </row>
    <row r="8" customFormat="false" ht="26.85" hidden="false" customHeight="false" outlineLevel="0" collapsed="false">
      <c r="A8" s="36" t="s">
        <v>179</v>
      </c>
      <c r="B8" s="39" t="n">
        <f aca="false">B6+B7</f>
        <v>750</v>
      </c>
    </row>
    <row r="9" customFormat="false" ht="15" hidden="false" customHeight="false" outlineLevel="0" collapsed="false">
      <c r="A9" s="10" t="s">
        <v>90</v>
      </c>
      <c r="B9" s="23" t="n">
        <v>5</v>
      </c>
    </row>
    <row r="11" customFormat="false" ht="15" hidden="false" customHeight="false" outlineLevel="0" collapsed="false">
      <c r="A11" s="20" t="s">
        <v>180</v>
      </c>
      <c r="B11" s="21"/>
      <c r="C11" s="21"/>
      <c r="D11" s="21"/>
      <c r="E11" s="21"/>
      <c r="F11" s="21"/>
      <c r="G11" s="21"/>
    </row>
    <row r="12" customFormat="false" ht="31.5" hidden="false" customHeight="true" outlineLevel="0" collapsed="false">
      <c r="A12" s="29" t="s">
        <v>181</v>
      </c>
      <c r="B12" s="29" t="s">
        <v>93</v>
      </c>
      <c r="C12" s="29" t="s">
        <v>94</v>
      </c>
      <c r="D12" s="29" t="s">
        <v>95</v>
      </c>
      <c r="E12" s="29" t="s">
        <v>96</v>
      </c>
      <c r="F12" s="29" t="s">
        <v>182</v>
      </c>
      <c r="G12" s="29" t="s">
        <v>98</v>
      </c>
    </row>
    <row r="13" customFormat="false" ht="15" hidden="false" customHeight="false" outlineLevel="0" collapsed="false">
      <c r="A13" s="30" t="n">
        <v>0.0705</v>
      </c>
      <c r="B13" s="25" t="n">
        <v>150</v>
      </c>
      <c r="C13" s="32" t="n">
        <f aca="false">SUM($B$13:B13)</f>
        <v>150</v>
      </c>
      <c r="D13" s="32" t="n">
        <f aca="false">MIN(B13,MAX(0,$B$8-(C13-B13)))</f>
        <v>150</v>
      </c>
      <c r="E13" s="40" t="n">
        <f aca="false">IF(B13=0,0,D13/B13)</f>
        <v>1</v>
      </c>
      <c r="F13" s="34" t="n">
        <f aca="false">IF(D13&gt;0,-PV(A13,$B$9,$B$21*100,100),"—")</f>
        <v>100.286629986264</v>
      </c>
      <c r="G13" s="32" t="n">
        <f aca="false">IF(D13&gt;0,D13*F13/100,0)</f>
        <v>150.429944979395</v>
      </c>
    </row>
    <row r="14" customFormat="false" ht="15" hidden="false" customHeight="false" outlineLevel="0" collapsed="false">
      <c r="A14" s="30" t="n">
        <v>0.0708</v>
      </c>
      <c r="B14" s="25" t="n">
        <v>200</v>
      </c>
      <c r="C14" s="32" t="n">
        <f aca="false">SUM($B$13:B14)</f>
        <v>350</v>
      </c>
      <c r="D14" s="32" t="n">
        <f aca="false">MIN(B14,MAX(0,$B$8-(C14-B14)))</f>
        <v>200</v>
      </c>
      <c r="E14" s="40" t="n">
        <f aca="false">IF(B14=0,0,D14/B14)</f>
        <v>1</v>
      </c>
      <c r="F14" s="34" t="n">
        <f aca="false">IF(D14&gt;0,-PV(A14,$B$9,$B$21*100,100),"—")</f>
        <v>100.163657187248</v>
      </c>
      <c r="G14" s="32" t="n">
        <f aca="false">IF(D14&gt;0,D14*F14/100,0)</f>
        <v>200.327314374495</v>
      </c>
    </row>
    <row r="15" customFormat="false" ht="15" hidden="false" customHeight="false" outlineLevel="0" collapsed="false">
      <c r="A15" s="30" t="n">
        <v>0.071</v>
      </c>
      <c r="B15" s="25" t="n">
        <v>250</v>
      </c>
      <c r="C15" s="32" t="n">
        <f aca="false">SUM($B$13:B15)</f>
        <v>600</v>
      </c>
      <c r="D15" s="32" t="n">
        <f aca="false">MIN(B15,MAX(0,$B$8-(C15-B15)))</f>
        <v>250</v>
      </c>
      <c r="E15" s="40" t="n">
        <f aca="false">IF(B15=0,0,D15/B15)</f>
        <v>1</v>
      </c>
      <c r="F15" s="34" t="n">
        <f aca="false">IF(D15&gt;0,-PV(A15,$B$9,$B$21*100,100),"—")</f>
        <v>100.081784848091</v>
      </c>
      <c r="G15" s="32" t="n">
        <f aca="false">IF(D15&gt;0,D15*F15/100,0)</f>
        <v>250.204462120227</v>
      </c>
    </row>
    <row r="16" customFormat="false" ht="15" hidden="false" customHeight="false" outlineLevel="0" collapsed="false">
      <c r="A16" s="30" t="n">
        <v>0.0712</v>
      </c>
      <c r="B16" s="25" t="n">
        <v>200</v>
      </c>
      <c r="C16" s="32" t="n">
        <f aca="false">SUM($B$13:B16)</f>
        <v>800</v>
      </c>
      <c r="D16" s="32" t="n">
        <f aca="false">MIN(B16,MAX(0,$B$8-(C16-B16)))</f>
        <v>150</v>
      </c>
      <c r="E16" s="40" t="n">
        <f aca="false">IF(B16=0,0,D16/B16)</f>
        <v>0.75</v>
      </c>
      <c r="F16" s="34" t="n">
        <f aca="false">IF(D16&gt;0,-PV(A16,$B$9,$B$21*100,100),"—")</f>
        <v>100</v>
      </c>
      <c r="G16" s="32" t="n">
        <f aca="false">IF(D16&gt;0,D16*F16/100,0)</f>
        <v>150</v>
      </c>
    </row>
    <row r="17" customFormat="false" ht="15" hidden="false" customHeight="false" outlineLevel="0" collapsed="false">
      <c r="A17" s="30" t="n">
        <v>0.0715</v>
      </c>
      <c r="B17" s="25" t="n">
        <v>150</v>
      </c>
      <c r="C17" s="32" t="n">
        <f aca="false">SUM($B$13:B17)</f>
        <v>950</v>
      </c>
      <c r="D17" s="32" t="n">
        <f aca="false">MIN(B17,MAX(0,$B$8-(C17-B17)))</f>
        <v>0</v>
      </c>
      <c r="E17" s="40" t="n">
        <f aca="false">IF(B17=0,0,D17/B17)</f>
        <v>0</v>
      </c>
      <c r="F17" s="34" t="str">
        <f aca="false">IF(D17&gt;0,-PV(A17,$B$9,$B$21*100,100),"—")</f>
        <v>—</v>
      </c>
      <c r="G17" s="32" t="n">
        <f aca="false">IF(D17&gt;0,D17*F17/100,0)</f>
        <v>0</v>
      </c>
    </row>
    <row r="18" customFormat="false" ht="15" hidden="false" customHeight="false" outlineLevel="0" collapsed="false">
      <c r="A18" s="30" t="n">
        <v>0.072</v>
      </c>
      <c r="B18" s="25" t="n">
        <v>100</v>
      </c>
      <c r="C18" s="32" t="n">
        <f aca="false">SUM($B$13:B18)</f>
        <v>1050</v>
      </c>
      <c r="D18" s="32" t="n">
        <f aca="false">MIN(B18,MAX(0,$B$8-(C18-B18)))</f>
        <v>0</v>
      </c>
      <c r="E18" s="40" t="n">
        <f aca="false">IF(B18=0,0,D18/B18)</f>
        <v>0</v>
      </c>
      <c r="F18" s="34" t="str">
        <f aca="false">IF(D18&gt;0,-PV(A18,$B$9,$B$21*100,100),"—")</f>
        <v>—</v>
      </c>
      <c r="G18" s="32" t="n">
        <f aca="false">IF(D18&gt;0,D18*F18/100,0)</f>
        <v>0</v>
      </c>
    </row>
    <row r="19" customFormat="false" ht="15" hidden="false" customHeight="false" outlineLevel="0" collapsed="false">
      <c r="A19" s="36" t="s">
        <v>99</v>
      </c>
      <c r="B19" s="39" t="n">
        <f aca="false">SUM(B13:B18)</f>
        <v>1050</v>
      </c>
      <c r="D19" s="39" t="n">
        <f aca="false">SUM(D13:D18)</f>
        <v>750</v>
      </c>
      <c r="G19" s="39" t="n">
        <f aca="false">SUM(G13:G18)</f>
        <v>750.961721474117</v>
      </c>
    </row>
    <row r="21" customFormat="false" ht="15" hidden="false" customHeight="false" outlineLevel="0" collapsed="false">
      <c r="A21" s="36" t="s">
        <v>183</v>
      </c>
      <c r="B21" s="38" t="n">
        <f aca="false">SUMPRODUCT((C13:C18&gt;=$B$8)*((C13:C18-B13:B18)&lt;$B$8)*A13:A18)</f>
        <v>0.0712</v>
      </c>
    </row>
    <row r="22" customFormat="false" ht="26.85" hidden="false" customHeight="false" outlineLevel="0" collapsed="false">
      <c r="A22" s="10" t="s">
        <v>184</v>
      </c>
      <c r="B22" s="48" t="n">
        <f aca="false">B19/B8</f>
        <v>1.4</v>
      </c>
    </row>
    <row r="23" customFormat="false" ht="26.85" hidden="false" customHeight="false" outlineLevel="0" collapsed="false">
      <c r="A23" s="10" t="s">
        <v>185</v>
      </c>
      <c r="B23" s="32" t="n">
        <f aca="false">D19</f>
        <v>750</v>
      </c>
    </row>
    <row r="24" customFormat="false" ht="26.85" hidden="false" customHeight="false" outlineLevel="0" collapsed="false">
      <c r="A24" s="36" t="s">
        <v>186</v>
      </c>
      <c r="B24" s="41" t="n">
        <f aca="false">G19</f>
        <v>750.961721474117</v>
      </c>
    </row>
  </sheetData>
  <printOptions headings="false" gridLines="false" gridLinesSet="true" horizontalCentered="false" verticalCentered="false"/>
  <pageMargins left="0.75" right="0.75" top="1" bottom="1" header="0.5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>&amp;L&amp;"Arial,Bold"&amp;K123157The Mountain Path Academy&amp;R&amp;"Arial,Regular"&amp;A</oddHeader>
    <oddFooter>&amp;L&amp;"Arial,Regular"https://themountainpathacademy.com&amp;R&amp;"Arial,Regular"Page &amp;P of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23157"/>
    <pageSetUpPr fitToPage="true"/>
  </sheetPr>
  <dimension ref="A1:E2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3" min="2" style="0" width="16"/>
    <col collapsed="false" customWidth="true" hidden="false" outlineLevel="0" max="4" min="4" style="0" width="40"/>
    <col collapsed="false" customWidth="true" hidden="false" outlineLevel="0" max="5" min="5" style="0" width="14"/>
    <col collapsed="false" customWidth="true" hidden="false" outlineLevel="0" max="8" min="8" style="0" width="16"/>
  </cols>
  <sheetData>
    <row r="1" customFormat="false" ht="19.7" hidden="false" customHeight="false" outlineLevel="0" collapsed="false">
      <c r="A1" s="18" t="s">
        <v>187</v>
      </c>
      <c r="E1" s="19" t="str">
        <f aca="false">HYPERLINK("#'Read Me'!A1","← Contents")</f>
        <v>← Contents</v>
      </c>
    </row>
    <row r="2" customFormat="false" ht="15" hidden="false" customHeight="false" outlineLevel="0" collapsed="false">
      <c r="A2" s="2" t="s">
        <v>188</v>
      </c>
    </row>
    <row r="3" customFormat="false" ht="21.75" hidden="false" customHeight="true" outlineLevel="0" collapsed="false">
      <c r="A3" s="3" t="s">
        <v>2</v>
      </c>
      <c r="B3" s="4"/>
      <c r="C3" s="4"/>
      <c r="D3" s="4"/>
      <c r="E3" s="4"/>
    </row>
    <row r="5" customFormat="false" ht="15" hidden="false" customHeight="false" outlineLevel="0" collapsed="false">
      <c r="A5" s="20" t="s">
        <v>189</v>
      </c>
      <c r="B5" s="21"/>
      <c r="C5" s="21"/>
      <c r="D5" s="21"/>
    </row>
    <row r="6" customFormat="false" ht="15" hidden="false" customHeight="false" outlineLevel="0" collapsed="false">
      <c r="A6" s="10" t="s">
        <v>40</v>
      </c>
      <c r="B6" s="23" t="n">
        <v>5</v>
      </c>
    </row>
    <row r="7" customFormat="false" ht="15" hidden="false" customHeight="false" outlineLevel="0" collapsed="false">
      <c r="A7" s="10" t="s">
        <v>190</v>
      </c>
      <c r="B7" s="24" t="n">
        <v>0.072</v>
      </c>
    </row>
    <row r="8" customFormat="false" ht="15" hidden="false" customHeight="false" outlineLevel="0" collapsed="false">
      <c r="A8" s="36" t="s">
        <v>191</v>
      </c>
      <c r="B8" s="31" t="n">
        <f aca="false">100/(1+B7)^B6</f>
        <v>70.635995987463</v>
      </c>
    </row>
    <row r="9" customFormat="false" ht="15" hidden="false" customHeight="false" outlineLevel="0" collapsed="false">
      <c r="A9" s="10" t="s">
        <v>192</v>
      </c>
      <c r="B9" s="34" t="n">
        <f aca="false">100-B8</f>
        <v>29.3640040125371</v>
      </c>
    </row>
    <row r="10" customFormat="false" ht="15" hidden="false" customHeight="false" outlineLevel="0" collapsed="false">
      <c r="A10" s="10" t="s">
        <v>193</v>
      </c>
      <c r="B10" s="22" t="n">
        <v>81.5</v>
      </c>
    </row>
    <row r="11" customFormat="false" ht="15" hidden="false" customHeight="false" outlineLevel="0" collapsed="false">
      <c r="A11" s="10" t="s">
        <v>194</v>
      </c>
      <c r="B11" s="23" t="n">
        <v>3</v>
      </c>
    </row>
    <row r="12" customFormat="false" ht="15" hidden="false" customHeight="false" outlineLevel="0" collapsed="false">
      <c r="A12" s="36" t="s">
        <v>195</v>
      </c>
      <c r="B12" s="38" t="n">
        <f aca="false">(100/B10)^(1/B11)-1</f>
        <v>0.07056768578629</v>
      </c>
    </row>
    <row r="14" customFormat="false" ht="15" hidden="false" customHeight="false" outlineLevel="0" collapsed="false">
      <c r="A14" s="20" t="s">
        <v>196</v>
      </c>
      <c r="B14" s="21"/>
      <c r="C14" s="21"/>
      <c r="D14" s="21"/>
    </row>
    <row r="15" customFormat="false" ht="15" hidden="false" customHeight="false" outlineLevel="0" collapsed="false">
      <c r="A15" s="10" t="s">
        <v>197</v>
      </c>
      <c r="B15" s="49" t="n">
        <f aca="false">'5 Treasury Bills'!E8</f>
        <v>0.0556784654645161</v>
      </c>
      <c r="C15" s="35" t="s">
        <v>198</v>
      </c>
    </row>
    <row r="16" customFormat="false" ht="15" hidden="false" customHeight="false" outlineLevel="0" collapsed="false">
      <c r="A16" s="10" t="s">
        <v>199</v>
      </c>
      <c r="B16" s="24" t="n">
        <v>0.011</v>
      </c>
    </row>
    <row r="17" customFormat="false" ht="15" hidden="false" customHeight="false" outlineLevel="0" collapsed="false">
      <c r="A17" s="36" t="s">
        <v>200</v>
      </c>
      <c r="B17" s="38" t="n">
        <f aca="false">B15+B16</f>
        <v>0.0666784654645161</v>
      </c>
    </row>
    <row r="19" customFormat="false" ht="15" hidden="false" customHeight="false" outlineLevel="0" collapsed="false">
      <c r="A19" s="20" t="s">
        <v>201</v>
      </c>
      <c r="B19" s="21"/>
      <c r="C19" s="21"/>
      <c r="D19" s="21"/>
    </row>
    <row r="20" customFormat="false" ht="15" hidden="false" customHeight="false" outlineLevel="0" collapsed="false">
      <c r="A20" s="10" t="s">
        <v>202</v>
      </c>
      <c r="B20" s="30" t="n">
        <v>0.074</v>
      </c>
    </row>
    <row r="21" customFormat="false" ht="15" hidden="false" customHeight="false" outlineLevel="0" collapsed="false">
      <c r="A21" s="10" t="s">
        <v>40</v>
      </c>
      <c r="B21" s="23" t="n">
        <v>10</v>
      </c>
    </row>
    <row r="22" customFormat="false" ht="15" hidden="false" customHeight="false" outlineLevel="0" collapsed="false">
      <c r="A22" s="10" t="s">
        <v>203</v>
      </c>
      <c r="B22" s="23" t="n">
        <v>5</v>
      </c>
    </row>
    <row r="23" customFormat="false" ht="15" hidden="false" customHeight="false" outlineLevel="0" collapsed="false">
      <c r="A23" s="10" t="s">
        <v>204</v>
      </c>
      <c r="B23" s="22" t="n">
        <v>100</v>
      </c>
    </row>
    <row r="24" customFormat="false" ht="15" hidden="false" customHeight="false" outlineLevel="0" collapsed="false">
      <c r="A24" s="10" t="s">
        <v>52</v>
      </c>
      <c r="B24" s="50" t="n">
        <v>101.5</v>
      </c>
    </row>
    <row r="25" customFormat="false" ht="15" hidden="false" customHeight="false" outlineLevel="0" collapsed="false">
      <c r="A25" s="10" t="s">
        <v>205</v>
      </c>
      <c r="B25" s="51" t="n">
        <f aca="false">RATE(B21,B20*100,-B24,100)</f>
        <v>0.0718460764711989</v>
      </c>
    </row>
    <row r="26" customFormat="false" ht="15" hidden="false" customHeight="false" outlineLevel="0" collapsed="false">
      <c r="A26" s="10" t="s">
        <v>206</v>
      </c>
      <c r="B26" s="51" t="n">
        <f aca="false">RATE(B22,B20*100,-B24,B23)</f>
        <v>0.0703383249596507</v>
      </c>
    </row>
    <row r="27" customFormat="false" ht="15" hidden="false" customHeight="false" outlineLevel="0" collapsed="false">
      <c r="A27" s="36" t="s">
        <v>207</v>
      </c>
      <c r="B27" s="38" t="n">
        <f aca="false">MIN(B25,B26)</f>
        <v>0.0703383249596507</v>
      </c>
    </row>
  </sheetData>
  <printOptions headings="false" gridLines="false" gridLinesSet="true" horizontalCentered="false" verticalCentered="false"/>
  <pageMargins left="0.75" right="0.75" top="1" bottom="1" header="0.5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>&amp;L&amp;"Arial,Bold"&amp;K123157The Mountain Path Academy&amp;R&amp;"Arial,Regular"&amp;A</oddHeader>
    <oddFooter>&amp;L&amp;"Arial,Regular"https://themountainpathacademy.com&amp;R&amp;"Arial,Regular"Page &amp;P of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23157"/>
    <pageSetUpPr fitToPage="true"/>
  </sheetPr>
  <dimension ref="A1:E1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3" min="2" style="0" width="16"/>
    <col collapsed="false" customWidth="true" hidden="false" outlineLevel="0" max="4" min="4" style="0" width="30"/>
    <col collapsed="false" customWidth="true" hidden="false" outlineLevel="0" max="5" min="5" style="0" width="14"/>
    <col collapsed="false" customWidth="true" hidden="false" outlineLevel="0" max="8" min="8" style="0" width="16"/>
  </cols>
  <sheetData>
    <row r="1" customFormat="false" ht="19.7" hidden="false" customHeight="false" outlineLevel="0" collapsed="false">
      <c r="A1" s="18" t="s">
        <v>208</v>
      </c>
      <c r="E1" s="19" t="str">
        <f aca="false">HYPERLINK("#'Read Me'!A1","← Contents")</f>
        <v>← Contents</v>
      </c>
    </row>
    <row r="2" customFormat="false" ht="15" hidden="false" customHeight="false" outlineLevel="0" collapsed="false">
      <c r="A2" s="2" t="s">
        <v>209</v>
      </c>
    </row>
    <row r="3" customFormat="false" ht="21.75" hidden="false" customHeight="true" outlineLevel="0" collapsed="false">
      <c r="A3" s="3" t="s">
        <v>2</v>
      </c>
      <c r="B3" s="4"/>
      <c r="C3" s="4"/>
      <c r="D3" s="4"/>
      <c r="E3" s="4"/>
    </row>
    <row r="6" customFormat="false" ht="15" hidden="false" customHeight="false" outlineLevel="0" collapsed="false">
      <c r="A6" s="10" t="s">
        <v>210</v>
      </c>
      <c r="B6" s="25" t="n">
        <v>500</v>
      </c>
    </row>
    <row r="7" customFormat="false" ht="15" hidden="false" customHeight="false" outlineLevel="0" collapsed="false">
      <c r="A7" s="10" t="s">
        <v>202</v>
      </c>
      <c r="B7" s="30" t="n">
        <v>0.072</v>
      </c>
    </row>
    <row r="8" customFormat="false" ht="15" hidden="false" customHeight="false" outlineLevel="0" collapsed="false">
      <c r="A8" s="10" t="s">
        <v>90</v>
      </c>
      <c r="B8" s="23" t="n">
        <v>5</v>
      </c>
    </row>
    <row r="9" customFormat="false" ht="15" hidden="false" customHeight="false" outlineLevel="0" collapsed="false">
      <c r="A9" s="10" t="s">
        <v>211</v>
      </c>
      <c r="B9" s="24" t="n">
        <v>0.0025</v>
      </c>
    </row>
    <row r="10" customFormat="false" ht="15" hidden="false" customHeight="false" outlineLevel="0" collapsed="false">
      <c r="A10" s="10" t="s">
        <v>212</v>
      </c>
      <c r="B10" s="24" t="n">
        <v>0.0002</v>
      </c>
    </row>
    <row r="11" customFormat="false" ht="15" hidden="false" customHeight="false" outlineLevel="0" collapsed="false">
      <c r="A11" s="10" t="s">
        <v>213</v>
      </c>
      <c r="B11" s="52" t="n">
        <f aca="false">100*(1-B9)</f>
        <v>99.75</v>
      </c>
    </row>
    <row r="12" customFormat="false" ht="15" hidden="false" customHeight="false" outlineLevel="0" collapsed="false">
      <c r="A12" s="10" t="s">
        <v>214</v>
      </c>
      <c r="B12" s="32" t="n">
        <f aca="false">B6*(1-B9)</f>
        <v>498.75</v>
      </c>
    </row>
    <row r="13" customFormat="false" ht="15" hidden="false" customHeight="false" outlineLevel="0" collapsed="false">
      <c r="A13" s="10" t="s">
        <v>215</v>
      </c>
      <c r="B13" s="51" t="n">
        <f aca="false">RATE(B8,-B7*100,B11,-100)</f>
        <v>0.072614000337734</v>
      </c>
    </row>
    <row r="14" customFormat="false" ht="15" hidden="false" customHeight="false" outlineLevel="0" collapsed="false">
      <c r="A14" s="36" t="s">
        <v>216</v>
      </c>
      <c r="B14" s="38" t="n">
        <f aca="false">RATE(B8,-(B7+B10)*100,B11,-100)</f>
        <v>0.0728143283539832</v>
      </c>
    </row>
    <row r="15" customFormat="false" ht="15" hidden="false" customHeight="false" outlineLevel="0" collapsed="false">
      <c r="A15" s="10" t="s">
        <v>217</v>
      </c>
      <c r="B15" s="53" t="n">
        <f aca="false">(B14-B7)*10000</f>
        <v>8.14328353983152</v>
      </c>
    </row>
  </sheetData>
  <printOptions headings="false" gridLines="false" gridLinesSet="true" horizontalCentered="false" verticalCentered="false"/>
  <pageMargins left="0.75" right="0.75" top="1" bottom="1" header="0.5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>&amp;L&amp;"Arial,Bold"&amp;K123157The Mountain Path Academy&amp;R&amp;"Arial,Regular"&amp;A</oddHeader>
    <oddFooter>&amp;L&amp;"Arial,Regular"https://themountainpathacademy.com&amp;R&amp;"Arial,Regular"Page &amp;P of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23157"/>
    <pageSetUpPr fitToPage="true"/>
  </sheetPr>
  <dimension ref="A1:G2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4" min="2" style="0" width="16"/>
    <col collapsed="false" customWidth="true" hidden="false" outlineLevel="0" max="5" min="5" style="0" width="18"/>
    <col collapsed="false" customWidth="true" hidden="false" outlineLevel="0" max="6" min="6" style="0" width="26"/>
    <col collapsed="false" customWidth="true" hidden="false" outlineLevel="0" max="7" min="7" style="0" width="14"/>
    <col collapsed="false" customWidth="true" hidden="false" outlineLevel="0" max="8" min="8" style="0" width="16"/>
  </cols>
  <sheetData>
    <row r="1" customFormat="false" ht="19.7" hidden="false" customHeight="false" outlineLevel="0" collapsed="false">
      <c r="A1" s="18" t="s">
        <v>218</v>
      </c>
      <c r="G1" s="19" t="str">
        <f aca="false">HYPERLINK("#'Read Me'!A1","← Contents")</f>
        <v>← Contents</v>
      </c>
    </row>
    <row r="2" customFormat="false" ht="15" hidden="false" customHeight="false" outlineLevel="0" collapsed="false">
      <c r="A2" s="2" t="s">
        <v>219</v>
      </c>
    </row>
    <row r="3" customFormat="false" ht="21.75" hidden="false" customHeight="true" outlineLevel="0" collapsed="false">
      <c r="A3" s="3" t="s">
        <v>2</v>
      </c>
      <c r="B3" s="4"/>
      <c r="C3" s="4"/>
      <c r="D3" s="4"/>
      <c r="E3" s="4"/>
      <c r="F3" s="4"/>
      <c r="G3" s="4"/>
    </row>
    <row r="5" customFormat="false" ht="15" hidden="false" customHeight="false" outlineLevel="0" collapsed="false">
      <c r="A5" s="20" t="s">
        <v>220</v>
      </c>
      <c r="B5" s="21"/>
      <c r="C5" s="21"/>
      <c r="D5" s="21"/>
      <c r="E5" s="21"/>
      <c r="F5" s="21"/>
    </row>
    <row r="6" customFormat="false" ht="31.5" hidden="false" customHeight="true" outlineLevel="0" collapsed="false">
      <c r="A6" s="29" t="s">
        <v>67</v>
      </c>
      <c r="B6" s="29" t="s">
        <v>221</v>
      </c>
      <c r="C6" s="29" t="s">
        <v>222</v>
      </c>
      <c r="D6" s="29"/>
      <c r="E6" s="29"/>
      <c r="F6" s="29" t="s">
        <v>223</v>
      </c>
    </row>
    <row r="7" customFormat="false" ht="15" hidden="false" customHeight="false" outlineLevel="0" collapsed="false">
      <c r="A7" s="10" t="s">
        <v>224</v>
      </c>
      <c r="B7" s="24" t="n">
        <v>0.0615</v>
      </c>
      <c r="C7" s="24" t="n">
        <v>0.0635</v>
      </c>
      <c r="F7" s="10" t="s">
        <v>225</v>
      </c>
    </row>
    <row r="8" customFormat="false" ht="26.85" hidden="false" customHeight="false" outlineLevel="0" collapsed="false">
      <c r="A8" s="10" t="s">
        <v>226</v>
      </c>
      <c r="B8" s="24" t="n">
        <v>0.0185</v>
      </c>
      <c r="C8" s="24" t="n">
        <v>0.02</v>
      </c>
      <c r="F8" s="10" t="s">
        <v>227</v>
      </c>
    </row>
    <row r="9" customFormat="false" ht="26.85" hidden="false" customHeight="false" outlineLevel="0" collapsed="false">
      <c r="A9" s="10" t="s">
        <v>228</v>
      </c>
      <c r="B9" s="24" t="n">
        <v>0.005</v>
      </c>
      <c r="C9" s="24" t="n">
        <v>0.005</v>
      </c>
      <c r="F9" s="10" t="s">
        <v>229</v>
      </c>
    </row>
    <row r="10" customFormat="false" ht="15" hidden="false" customHeight="false" outlineLevel="0" collapsed="false">
      <c r="A10" s="36" t="s">
        <v>230</v>
      </c>
      <c r="B10" s="38" t="n">
        <f aca="false">SUM(B7:B9)</f>
        <v>0.085</v>
      </c>
      <c r="C10" s="38" t="n">
        <f aca="false">SUM(C7:C9)</f>
        <v>0.0885</v>
      </c>
    </row>
    <row r="12" customFormat="false" ht="15" hidden="false" customHeight="false" outlineLevel="0" collapsed="false">
      <c r="A12" s="20" t="s">
        <v>231</v>
      </c>
      <c r="B12" s="21"/>
      <c r="C12" s="21"/>
      <c r="D12" s="21"/>
      <c r="E12" s="21"/>
      <c r="F12" s="21"/>
    </row>
    <row r="13" customFormat="false" ht="15" hidden="false" customHeight="false" outlineLevel="0" collapsed="false">
      <c r="A13" s="10" t="s">
        <v>232</v>
      </c>
      <c r="B13" s="54" t="n">
        <v>1000</v>
      </c>
    </row>
    <row r="14" customFormat="false" ht="31.5" hidden="false" customHeight="true" outlineLevel="0" collapsed="false">
      <c r="A14" s="29" t="s">
        <v>233</v>
      </c>
      <c r="B14" s="29" t="s">
        <v>234</v>
      </c>
      <c r="C14" s="29" t="s">
        <v>235</v>
      </c>
      <c r="D14" s="29" t="s">
        <v>236</v>
      </c>
      <c r="E14" s="29" t="s">
        <v>237</v>
      </c>
      <c r="F14" s="29" t="s">
        <v>238</v>
      </c>
    </row>
    <row r="15" customFormat="false" ht="15" hidden="false" customHeight="false" outlineLevel="0" collapsed="false">
      <c r="A15" s="13" t="s">
        <v>239</v>
      </c>
      <c r="B15" s="23" t="n">
        <v>3</v>
      </c>
      <c r="C15" s="51" t="n">
        <f aca="false">B10</f>
        <v>0.085</v>
      </c>
      <c r="D15" s="51" t="n">
        <f aca="false">C15</f>
        <v>0.085</v>
      </c>
      <c r="E15" s="55" t="n">
        <f aca="false">$B$13*C15</f>
        <v>85</v>
      </c>
      <c r="F15" s="55" t="n">
        <f aca="false">$B$13</f>
        <v>1000</v>
      </c>
    </row>
    <row r="16" customFormat="false" ht="15" hidden="false" customHeight="false" outlineLevel="0" collapsed="false">
      <c r="A16" s="13" t="s">
        <v>240</v>
      </c>
      <c r="B16" s="23" t="n">
        <v>3</v>
      </c>
      <c r="C16" s="13" t="s">
        <v>241</v>
      </c>
      <c r="D16" s="51" t="n">
        <f aca="false">B10</f>
        <v>0.085</v>
      </c>
      <c r="E16" s="13" t="s">
        <v>241</v>
      </c>
      <c r="F16" s="56" t="n">
        <f aca="false">$B$13*(1+D16)^B16</f>
        <v>1277.289125</v>
      </c>
    </row>
    <row r="17" customFormat="false" ht="15" hidden="false" customHeight="false" outlineLevel="0" collapsed="false">
      <c r="A17" s="13" t="s">
        <v>242</v>
      </c>
      <c r="B17" s="23" t="n">
        <v>5</v>
      </c>
      <c r="C17" s="51" t="n">
        <f aca="false">C10</f>
        <v>0.0885</v>
      </c>
      <c r="D17" s="51" t="n">
        <f aca="false">C17</f>
        <v>0.0885</v>
      </c>
      <c r="E17" s="55" t="n">
        <f aca="false">$B$13*C17</f>
        <v>88.5</v>
      </c>
      <c r="F17" s="55" t="n">
        <f aca="false">$B$13</f>
        <v>1000</v>
      </c>
    </row>
    <row r="18" customFormat="false" ht="15" hidden="false" customHeight="false" outlineLevel="0" collapsed="false">
      <c r="A18" s="13" t="s">
        <v>243</v>
      </c>
      <c r="B18" s="23" t="n">
        <v>5</v>
      </c>
      <c r="C18" s="38" t="n">
        <f aca="false">12*((1+C10)^(1/12)-1)</f>
        <v>0.0851009396620794</v>
      </c>
      <c r="D18" s="51" t="n">
        <f aca="false">(1+C18/12)^12-1</f>
        <v>0.0884999999999989</v>
      </c>
      <c r="E18" s="55" t="n">
        <f aca="false">$B$13*C18/12</f>
        <v>7.09174497183995</v>
      </c>
      <c r="F18" s="55" t="n">
        <f aca="false">$B$13</f>
        <v>1000</v>
      </c>
    </row>
    <row r="19" customFormat="false" ht="15" hidden="false" customHeight="false" outlineLevel="0" collapsed="false">
      <c r="A19" s="35" t="s">
        <v>244</v>
      </c>
    </row>
    <row r="21" customFormat="false" ht="26.85" hidden="false" customHeight="false" outlineLevel="0" collapsed="false">
      <c r="A21" s="10" t="s">
        <v>245</v>
      </c>
      <c r="B21" s="51" t="n">
        <f aca="false">(1+C10/12)^12-1</f>
        <v>0.0921795118466906</v>
      </c>
    </row>
  </sheetData>
  <printOptions headings="false" gridLines="false" gridLinesSet="true" horizontalCentered="false" verticalCentered="false"/>
  <pageMargins left="0.75" right="0.75" top="1" bottom="1" header="0.5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>&amp;L&amp;"Arial,Bold"&amp;K123157The Mountain Path Academy&amp;R&amp;"Arial,Regular"&amp;A</oddHeader>
    <oddFooter>&amp;L&amp;"Arial,Regular"https://themountainpathacademy.com&amp;R&amp;"Arial,Regular"Page &amp;P of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23157"/>
    <pageSetUpPr fitToPage="true"/>
  </sheetPr>
  <dimension ref="A1:L3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7" min="2" style="0" width="13"/>
    <col collapsed="false" customWidth="true" hidden="false" outlineLevel="0" max="8" min="8" style="0" width="16"/>
    <col collapsed="false" customWidth="true" hidden="false" outlineLevel="0" max="10" min="9" style="0" width="13"/>
    <col collapsed="false" customWidth="true" hidden="false" outlineLevel="0" max="11" min="11" style="0" width="16"/>
    <col collapsed="false" customWidth="true" hidden="false" outlineLevel="0" max="12" min="12" style="0" width="14"/>
  </cols>
  <sheetData>
    <row r="1" customFormat="false" ht="19.7" hidden="false" customHeight="false" outlineLevel="0" collapsed="false">
      <c r="A1" s="18" t="s">
        <v>246</v>
      </c>
      <c r="L1" s="19" t="str">
        <f aca="false">HYPERLINK("#'Read Me'!A1","← Contents")</f>
        <v>← Contents</v>
      </c>
    </row>
    <row r="2" customFormat="false" ht="15" hidden="false" customHeight="false" outlineLevel="0" collapsed="false">
      <c r="A2" s="2" t="s">
        <v>247</v>
      </c>
    </row>
    <row r="3" customFormat="false" ht="21.75" hidden="false" customHeight="true" outlineLevel="0" collapsed="false">
      <c r="A3" s="3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5" customFormat="false" ht="15" hidden="false" customHeight="false" outlineLevel="0" collapsed="false">
      <c r="A5" s="20" t="s">
        <v>248</v>
      </c>
      <c r="B5" s="21"/>
      <c r="C5" s="21"/>
      <c r="D5" s="21"/>
      <c r="E5" s="21"/>
      <c r="F5" s="21"/>
      <c r="G5" s="21"/>
      <c r="H5" s="21"/>
      <c r="I5" s="21"/>
      <c r="J5" s="21"/>
      <c r="K5" s="21"/>
    </row>
    <row r="6" customFormat="false" ht="15" hidden="false" customHeight="false" outlineLevel="0" collapsed="false">
      <c r="A6" s="10" t="s">
        <v>177</v>
      </c>
      <c r="B6" s="25" t="n">
        <v>150</v>
      </c>
    </row>
    <row r="7" customFormat="false" ht="15" hidden="false" customHeight="false" outlineLevel="0" collapsed="false">
      <c r="A7" s="10" t="s">
        <v>178</v>
      </c>
      <c r="B7" s="25" t="n">
        <v>150</v>
      </c>
    </row>
    <row r="8" customFormat="false" ht="15" hidden="false" customHeight="false" outlineLevel="0" collapsed="false">
      <c r="A8" s="36" t="s">
        <v>249</v>
      </c>
      <c r="B8" s="39" t="n">
        <f aca="false">B6+B7</f>
        <v>300</v>
      </c>
    </row>
    <row r="9" customFormat="false" ht="26.85" hidden="false" customHeight="false" outlineLevel="0" collapsed="false">
      <c r="A9" s="10" t="s">
        <v>250</v>
      </c>
      <c r="B9" s="57" t="n">
        <v>0.75</v>
      </c>
    </row>
    <row r="11" customFormat="false" ht="15" hidden="false" customHeight="false" outlineLevel="0" collapsed="false">
      <c r="A11" s="20" t="s">
        <v>251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</row>
    <row r="12" customFormat="false" ht="31.5" hidden="false" customHeight="true" outlineLevel="0" collapsed="false">
      <c r="A12" s="29" t="s">
        <v>252</v>
      </c>
      <c r="B12" s="29" t="s">
        <v>253</v>
      </c>
      <c r="C12" s="29" t="s">
        <v>254</v>
      </c>
      <c r="D12" s="29" t="s">
        <v>255</v>
      </c>
      <c r="E12" s="29" t="s">
        <v>256</v>
      </c>
      <c r="F12" s="29" t="s">
        <v>257</v>
      </c>
      <c r="G12" s="29" t="s">
        <v>258</v>
      </c>
      <c r="H12" s="29" t="s">
        <v>259</v>
      </c>
      <c r="I12" s="29" t="s">
        <v>260</v>
      </c>
      <c r="J12" s="29" t="s">
        <v>261</v>
      </c>
      <c r="K12" s="29" t="s">
        <v>262</v>
      </c>
    </row>
    <row r="13" customFormat="false" ht="15" hidden="false" customHeight="false" outlineLevel="0" collapsed="false">
      <c r="A13" s="10" t="s">
        <v>263</v>
      </c>
      <c r="B13" s="57" t="n">
        <v>0.1</v>
      </c>
      <c r="C13" s="32" t="n">
        <f aca="false">$B$8*B13</f>
        <v>30</v>
      </c>
      <c r="D13" s="25" t="n">
        <v>18</v>
      </c>
      <c r="E13" s="25" t="n">
        <v>12</v>
      </c>
      <c r="F13" s="25" t="n">
        <v>0</v>
      </c>
      <c r="G13" s="32" t="n">
        <f aca="false">MIN(D13,C13)</f>
        <v>18</v>
      </c>
      <c r="H13" s="32" t="n">
        <f aca="false">MIN(E13,MAX(0,C13-G13))</f>
        <v>12</v>
      </c>
      <c r="I13" s="32" t="n">
        <f aca="false">MIN(F13,MAX(0,C13-G13-H13))</f>
        <v>0</v>
      </c>
      <c r="J13" s="39" t="n">
        <f aca="false">SUM(G13:I13)</f>
        <v>30</v>
      </c>
      <c r="K13" s="40" t="str">
        <f aca="false">IF(AND(D13&gt;0,G13&lt;D13),G13/D13,IF(AND(E13&gt;0,H13&lt;E13),H13/E13,IF(AND(F13&gt;0,I13&lt;F13),I13/F13,"Full / none cut")))</f>
        <v>Full / none cut</v>
      </c>
    </row>
    <row r="14" customFormat="false" ht="15" hidden="false" customHeight="false" outlineLevel="0" collapsed="false">
      <c r="A14" s="10" t="s">
        <v>264</v>
      </c>
      <c r="B14" s="57" t="n">
        <v>0.1</v>
      </c>
      <c r="C14" s="32" t="n">
        <f aca="false">$B$8*B14</f>
        <v>30</v>
      </c>
      <c r="D14" s="25" t="n">
        <v>20</v>
      </c>
      <c r="E14" s="25" t="n">
        <v>20</v>
      </c>
      <c r="F14" s="25" t="n">
        <v>0</v>
      </c>
      <c r="G14" s="32" t="n">
        <f aca="false">MIN(D14,C14)</f>
        <v>20</v>
      </c>
      <c r="H14" s="32" t="n">
        <f aca="false">MIN(E14,MAX(0,C14-G14))</f>
        <v>10</v>
      </c>
      <c r="I14" s="32" t="n">
        <f aca="false">MIN(F14,MAX(0,C14-G14-H14))</f>
        <v>0</v>
      </c>
      <c r="J14" s="39" t="n">
        <f aca="false">SUM(G14:I14)</f>
        <v>30</v>
      </c>
      <c r="K14" s="40" t="n">
        <f aca="false">IF(AND(D14&gt;0,G14&lt;D14),G14/D14,IF(AND(E14&gt;0,H14&lt;E14),H14/E14,IF(AND(F14&gt;0,I14&lt;F14),I14/F14,"Full / none cut")))</f>
        <v>0.5</v>
      </c>
    </row>
    <row r="15" customFormat="false" ht="15" hidden="false" customHeight="false" outlineLevel="0" collapsed="false">
      <c r="A15" s="10" t="s">
        <v>265</v>
      </c>
      <c r="B15" s="57" t="n">
        <v>0.4</v>
      </c>
      <c r="C15" s="32" t="n">
        <f aca="false">$B$8*B15</f>
        <v>120</v>
      </c>
      <c r="D15" s="25" t="n">
        <v>90</v>
      </c>
      <c r="E15" s="25" t="n">
        <v>60</v>
      </c>
      <c r="F15" s="25" t="n">
        <v>75</v>
      </c>
      <c r="G15" s="32" t="n">
        <f aca="false">MIN(D15,C15)</f>
        <v>90</v>
      </c>
      <c r="H15" s="32" t="n">
        <f aca="false">MIN(E15,MAX(0,C15-G15))</f>
        <v>30</v>
      </c>
      <c r="I15" s="32" t="n">
        <f aca="false">MIN(F15,MAX(0,C15-G15-H15))</f>
        <v>0</v>
      </c>
      <c r="J15" s="39" t="n">
        <f aca="false">SUM(G15:I15)</f>
        <v>120</v>
      </c>
      <c r="K15" s="40" t="n">
        <f aca="false">IF(AND(D15&gt;0,G15&lt;D15),G15/D15,IF(AND(E15&gt;0,H15&lt;E15),H15/E15,IF(AND(F15&gt;0,I15&lt;F15),I15/F15,"Full / none cut")))</f>
        <v>0.5</v>
      </c>
    </row>
    <row r="16" customFormat="false" ht="15" hidden="false" customHeight="false" outlineLevel="0" collapsed="false">
      <c r="A16" s="10" t="s">
        <v>266</v>
      </c>
      <c r="B16" s="57" t="n">
        <v>0.4</v>
      </c>
      <c r="C16" s="32" t="n">
        <f aca="false">$B$8*B16</f>
        <v>120</v>
      </c>
      <c r="D16" s="25" t="n">
        <v>70</v>
      </c>
      <c r="E16" s="25" t="n">
        <v>45</v>
      </c>
      <c r="F16" s="25" t="n">
        <v>30</v>
      </c>
      <c r="G16" s="32" t="n">
        <f aca="false">MIN(D16,C16)</f>
        <v>70</v>
      </c>
      <c r="H16" s="32" t="n">
        <f aca="false">MIN(E16,MAX(0,C16-G16))</f>
        <v>45</v>
      </c>
      <c r="I16" s="32" t="n">
        <f aca="false">MIN(F16,MAX(0,C16-G16-H16))</f>
        <v>5</v>
      </c>
      <c r="J16" s="39" t="n">
        <f aca="false">SUM(G16:I16)</f>
        <v>120</v>
      </c>
      <c r="K16" s="40" t="n">
        <f aca="false">IF(AND(D16&gt;0,G16&lt;D16),G16/D16,IF(AND(E16&gt;0,H16&lt;E16),H16/E16,IF(AND(F16&gt;0,I16&lt;F16),I16/F16,"Full / none cut")))</f>
        <v>0.166666666666667</v>
      </c>
    </row>
    <row r="17" customFormat="false" ht="15" hidden="false" customHeight="false" outlineLevel="0" collapsed="false">
      <c r="A17" s="36" t="s">
        <v>99</v>
      </c>
      <c r="B17" s="58" t="n">
        <f aca="false">SUM(B13:B16)</f>
        <v>1</v>
      </c>
      <c r="C17" s="39" t="n">
        <f aca="false">SUM(C13:C16)</f>
        <v>300</v>
      </c>
      <c r="D17" s="39" t="n">
        <f aca="false">SUM(D13:D16)</f>
        <v>198</v>
      </c>
      <c r="E17" s="39" t="n">
        <f aca="false">SUM(E13:E16)</f>
        <v>137</v>
      </c>
      <c r="F17" s="39" t="n">
        <f aca="false">SUM(F13:F16)</f>
        <v>105</v>
      </c>
      <c r="G17" s="39" t="n">
        <f aca="false">SUM(G13:G16)</f>
        <v>198</v>
      </c>
      <c r="H17" s="39" t="n">
        <f aca="false">SUM(H13:H16)</f>
        <v>97</v>
      </c>
      <c r="I17" s="39" t="n">
        <f aca="false">SUM(I13:I16)</f>
        <v>5</v>
      </c>
      <c r="J17" s="39" t="n">
        <f aca="false">SUM(J13:J16)</f>
        <v>300</v>
      </c>
    </row>
    <row r="19" customFormat="false" ht="15" hidden="false" customHeight="false" outlineLevel="0" collapsed="false">
      <c r="A19" s="20" t="s">
        <v>267</v>
      </c>
      <c r="B19" s="21"/>
      <c r="C19" s="21"/>
      <c r="D19" s="21"/>
      <c r="E19" s="21"/>
      <c r="F19" s="21"/>
      <c r="G19" s="21"/>
      <c r="H19" s="21"/>
      <c r="I19" s="21"/>
      <c r="J19" s="21"/>
      <c r="K19" s="21"/>
    </row>
    <row r="20" customFormat="false" ht="15" hidden="false" customHeight="false" outlineLevel="0" collapsed="false">
      <c r="A20" s="10" t="s">
        <v>268</v>
      </c>
      <c r="B20" s="32" t="n">
        <f aca="false">SUM(D17:F17)</f>
        <v>440</v>
      </c>
    </row>
    <row r="21" customFormat="false" ht="15" hidden="false" customHeight="false" outlineLevel="0" collapsed="false">
      <c r="A21" s="10" t="s">
        <v>269</v>
      </c>
      <c r="B21" s="59" t="n">
        <f aca="false">B20/B8</f>
        <v>1.46666666666667</v>
      </c>
    </row>
    <row r="22" customFormat="false" ht="15" hidden="false" customHeight="false" outlineLevel="0" collapsed="false">
      <c r="A22" s="10" t="s">
        <v>270</v>
      </c>
      <c r="B22" s="48" t="n">
        <f aca="false">B20/B6</f>
        <v>2.93333333333333</v>
      </c>
    </row>
    <row r="23" customFormat="false" ht="26.85" hidden="false" customHeight="false" outlineLevel="0" collapsed="false">
      <c r="A23" s="10" t="s">
        <v>271</v>
      </c>
      <c r="B23" s="32" t="n">
        <f aca="false">B6*B9</f>
        <v>112.5</v>
      </c>
    </row>
    <row r="24" customFormat="false" ht="15" hidden="false" customHeight="false" outlineLevel="0" collapsed="false">
      <c r="A24" s="36" t="s">
        <v>272</v>
      </c>
      <c r="B24" s="15" t="str">
        <f aca="false">IF(J17&gt;=B23,"Yes — allot","No — unblock all funds")</f>
        <v>Yes — allot</v>
      </c>
    </row>
    <row r="26" customFormat="false" ht="15" hidden="false" customHeight="false" outlineLevel="0" collapsed="false">
      <c r="A26" s="20" t="s">
        <v>273</v>
      </c>
      <c r="B26" s="21"/>
      <c r="C26" s="21"/>
      <c r="D26" s="21"/>
      <c r="E26" s="21"/>
      <c r="F26" s="21"/>
      <c r="G26" s="21"/>
      <c r="H26" s="21"/>
      <c r="I26" s="21"/>
      <c r="J26" s="21"/>
      <c r="K26" s="21"/>
    </row>
    <row r="27" customFormat="false" ht="15" hidden="false" customHeight="false" outlineLevel="0" collapsed="false">
      <c r="A27" s="10" t="s">
        <v>274</v>
      </c>
      <c r="B27" s="54" t="n">
        <v>60000</v>
      </c>
    </row>
    <row r="28" customFormat="false" ht="15" hidden="false" customHeight="false" outlineLevel="0" collapsed="false">
      <c r="A28" s="10" t="s">
        <v>275</v>
      </c>
      <c r="B28" s="40" t="n">
        <f aca="false">K16</f>
        <v>0.166666666666667</v>
      </c>
    </row>
    <row r="29" customFormat="false" ht="26.85" hidden="false" customHeight="false" outlineLevel="0" collapsed="false">
      <c r="A29" s="36" t="s">
        <v>276</v>
      </c>
      <c r="B29" s="60" t="n">
        <f aca="false">ROUNDDOWN(B27*B28/1000,0)</f>
        <v>10</v>
      </c>
    </row>
    <row r="30" customFormat="false" ht="15" hidden="false" customHeight="false" outlineLevel="0" collapsed="false">
      <c r="A30" s="10" t="s">
        <v>277</v>
      </c>
      <c r="B30" s="61" t="n">
        <f aca="false">B27-B29*1000</f>
        <v>50000</v>
      </c>
    </row>
    <row r="31" customFormat="false" ht="15" hidden="false" customHeight="false" outlineLevel="0" collapsed="false">
      <c r="A31" s="35" t="s">
        <v>278</v>
      </c>
    </row>
  </sheetData>
  <printOptions headings="false" gridLines="false" gridLinesSet="true" horizontalCentered="false" verticalCentered="false"/>
  <pageMargins left="0.75" right="0.75" top="1" bottom="1" header="0.5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>&amp;L&amp;"Arial,Bold"&amp;K123157The Mountain Path Academy&amp;R&amp;"Arial,Regular"&amp;A</oddHeader>
    <oddFooter>&amp;L&amp;"Arial,Regular"https://themountainpathacademy.com&amp;R&amp;"Arial,Regular"Page &amp;P of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23157"/>
    <pageSetUpPr fitToPage="true"/>
  </sheetPr>
  <dimension ref="A1:H3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4" min="2" style="0" width="14"/>
    <col collapsed="false" customWidth="true" hidden="false" outlineLevel="0" max="6" min="5" style="0" width="16"/>
    <col collapsed="false" customWidth="true" hidden="false" outlineLevel="0" max="7" min="7" style="0" width="18"/>
    <col collapsed="false" customWidth="true" hidden="false" outlineLevel="0" max="8" min="8" style="0" width="14"/>
  </cols>
  <sheetData>
    <row r="1" customFormat="false" ht="19.7" hidden="false" customHeight="false" outlineLevel="0" collapsed="false">
      <c r="A1" s="18" t="s">
        <v>279</v>
      </c>
      <c r="H1" s="19" t="str">
        <f aca="false">HYPERLINK("#'Read Me'!A1","← Contents")</f>
        <v>← Contents</v>
      </c>
    </row>
    <row r="2" customFormat="false" ht="15" hidden="false" customHeight="false" outlineLevel="0" collapsed="false">
      <c r="A2" s="2" t="s">
        <v>280</v>
      </c>
    </row>
    <row r="3" customFormat="false" ht="21.75" hidden="false" customHeight="true" outlineLevel="0" collapsed="false">
      <c r="A3" s="3" t="s">
        <v>2</v>
      </c>
      <c r="B3" s="4"/>
      <c r="C3" s="4"/>
      <c r="D3" s="4"/>
      <c r="E3" s="4"/>
      <c r="F3" s="4"/>
      <c r="G3" s="4"/>
      <c r="H3" s="4"/>
    </row>
    <row r="5" customFormat="false" ht="15" hidden="false" customHeight="false" outlineLevel="0" collapsed="false">
      <c r="A5" s="20" t="s">
        <v>281</v>
      </c>
      <c r="B5" s="21"/>
      <c r="C5" s="21"/>
      <c r="D5" s="21"/>
      <c r="E5" s="21"/>
      <c r="F5" s="21"/>
      <c r="G5" s="21"/>
    </row>
    <row r="6" customFormat="false" ht="15" hidden="false" customHeight="false" outlineLevel="0" collapsed="false">
      <c r="A6" s="10" t="s">
        <v>282</v>
      </c>
      <c r="B6" s="24" t="n">
        <v>0.0175</v>
      </c>
    </row>
    <row r="7" customFormat="false" ht="15" hidden="false" customHeight="false" outlineLevel="0" collapsed="false">
      <c r="A7" s="10" t="s">
        <v>212</v>
      </c>
      <c r="B7" s="24" t="n">
        <v>0.0005</v>
      </c>
    </row>
    <row r="8" customFormat="false" ht="15" hidden="false" customHeight="false" outlineLevel="0" collapsed="false">
      <c r="A8" s="10" t="s">
        <v>213</v>
      </c>
      <c r="B8" s="52" t="n">
        <f aca="false">100*(1-B6)</f>
        <v>98.25</v>
      </c>
    </row>
    <row r="10" customFormat="false" ht="15" hidden="false" customHeight="false" outlineLevel="0" collapsed="false">
      <c r="A10" s="20" t="s">
        <v>283</v>
      </c>
      <c r="B10" s="21"/>
      <c r="C10" s="21"/>
      <c r="D10" s="21"/>
      <c r="E10" s="21"/>
      <c r="F10" s="21"/>
      <c r="G10" s="21"/>
    </row>
    <row r="11" customFormat="false" ht="31.5" hidden="false" customHeight="true" outlineLevel="0" collapsed="false">
      <c r="A11" s="29" t="s">
        <v>233</v>
      </c>
      <c r="B11" s="29" t="s">
        <v>95</v>
      </c>
      <c r="C11" s="29" t="s">
        <v>234</v>
      </c>
      <c r="D11" s="29" t="s">
        <v>284</v>
      </c>
      <c r="E11" s="29" t="s">
        <v>285</v>
      </c>
      <c r="F11" s="29" t="s">
        <v>286</v>
      </c>
      <c r="G11" s="29" t="s">
        <v>287</v>
      </c>
    </row>
    <row r="12" customFormat="false" ht="15" hidden="false" customHeight="false" outlineLevel="0" collapsed="false">
      <c r="A12" s="13" t="s">
        <v>288</v>
      </c>
      <c r="B12" s="25" t="n">
        <v>90</v>
      </c>
      <c r="C12" s="26" t="n">
        <f aca="false">'9 NCD Pricing'!B15</f>
        <v>3</v>
      </c>
      <c r="D12" s="51" t="n">
        <f aca="false">'9 NCD Pricing'!C15</f>
        <v>0.085</v>
      </c>
      <c r="E12" s="51" t="n">
        <f aca="false">D12</f>
        <v>0.085</v>
      </c>
      <c r="F12" s="51" t="n">
        <f aca="false">RATE(C12,-(D12*100+$B$7*100),$B$8,-100)</f>
        <v>0.0924435866652113</v>
      </c>
      <c r="G12" s="32" t="n">
        <f aca="false">B12*(1-$B$6)</f>
        <v>88.425</v>
      </c>
    </row>
    <row r="13" customFormat="false" ht="15" hidden="false" customHeight="false" outlineLevel="0" collapsed="false">
      <c r="A13" s="13" t="s">
        <v>289</v>
      </c>
      <c r="B13" s="25" t="n">
        <v>60</v>
      </c>
      <c r="C13" s="26" t="n">
        <f aca="false">'9 NCD Pricing'!B16</f>
        <v>3</v>
      </c>
      <c r="D13" s="51" t="n">
        <f aca="false">'9 NCD Pricing'!D16</f>
        <v>0.085</v>
      </c>
      <c r="E13" s="51" t="n">
        <f aca="false">D13</f>
        <v>0.085</v>
      </c>
      <c r="F13" s="51" t="n">
        <f aca="false">IRR(B33:B36)</f>
        <v>0.0918715138204718</v>
      </c>
      <c r="G13" s="32" t="n">
        <f aca="false">B13*(1-$B$6)</f>
        <v>58.95</v>
      </c>
    </row>
    <row r="14" customFormat="false" ht="15" hidden="false" customHeight="false" outlineLevel="0" collapsed="false">
      <c r="A14" s="13" t="s">
        <v>290</v>
      </c>
      <c r="B14" s="25" t="n">
        <v>105</v>
      </c>
      <c r="C14" s="26" t="n">
        <f aca="false">'9 NCD Pricing'!B17</f>
        <v>5</v>
      </c>
      <c r="D14" s="51" t="n">
        <f aca="false">'9 NCD Pricing'!C17</f>
        <v>0.0885</v>
      </c>
      <c r="E14" s="51" t="n">
        <f aca="false">D14</f>
        <v>0.0885</v>
      </c>
      <c r="F14" s="51" t="n">
        <f aca="false">RATE(C14,-(D14*100+$B$7*100),$B$8,-100)</f>
        <v>0.0935405247572732</v>
      </c>
      <c r="G14" s="32" t="n">
        <f aca="false">B14*(1-$B$6)</f>
        <v>103.1625</v>
      </c>
    </row>
    <row r="15" customFormat="false" ht="15" hidden="false" customHeight="false" outlineLevel="0" collapsed="false">
      <c r="A15" s="13" t="s">
        <v>291</v>
      </c>
      <c r="B15" s="25" t="n">
        <v>45</v>
      </c>
      <c r="C15" s="26" t="n">
        <f aca="false">'9 NCD Pricing'!B18</f>
        <v>5</v>
      </c>
      <c r="D15" s="51" t="n">
        <f aca="false">'9 NCD Pricing'!C18</f>
        <v>0.0851009396620794</v>
      </c>
      <c r="E15" s="51" t="n">
        <f aca="false">'9 NCD Pricing'!D18</f>
        <v>0.0884999999999989</v>
      </c>
      <c r="F15" s="51" t="n">
        <f aca="false">(1+RATE(C15*12,-(D15*100+$B$7*100)/12,$B$8,-100))^12-1</f>
        <v>0.0937632378185742</v>
      </c>
      <c r="G15" s="32" t="n">
        <f aca="false">B15*(1-$B$6)</f>
        <v>44.2125</v>
      </c>
    </row>
    <row r="16" customFormat="false" ht="15" hidden="false" customHeight="false" outlineLevel="0" collapsed="false">
      <c r="A16" s="36" t="s">
        <v>292</v>
      </c>
      <c r="B16" s="39" t="n">
        <f aca="false">SUM(B12:B15)</f>
        <v>300</v>
      </c>
      <c r="E16" s="38" t="n">
        <f aca="false">SUMPRODUCT(B12:B15,E12:E15)/B16</f>
        <v>0.0867499999999998</v>
      </c>
      <c r="F16" s="38" t="n">
        <f aca="false">SUMPRODUCT(B12:B15,F12:F15)/B16</f>
        <v>0.0929110481014895</v>
      </c>
      <c r="G16" s="39" t="n">
        <f aca="false">SUM(G12:G15)</f>
        <v>294.75</v>
      </c>
    </row>
    <row r="17" customFormat="false" ht="15" hidden="false" customHeight="false" outlineLevel="0" collapsed="false">
      <c r="A17" s="10" t="s">
        <v>293</v>
      </c>
      <c r="B17" s="26" t="n">
        <f aca="false">(F16-E16)*10000</f>
        <v>61.6104810148968</v>
      </c>
    </row>
    <row r="19" customFormat="false" ht="15" hidden="false" customHeight="false" outlineLevel="0" collapsed="false">
      <c r="A19" s="20" t="s">
        <v>294</v>
      </c>
      <c r="B19" s="21"/>
      <c r="C19" s="21"/>
      <c r="D19" s="21"/>
      <c r="E19" s="21"/>
      <c r="F19" s="21"/>
      <c r="G19" s="21"/>
    </row>
    <row r="20" customFormat="false" ht="31.5" hidden="false" customHeight="true" outlineLevel="0" collapsed="false">
      <c r="A20" s="29" t="s">
        <v>295</v>
      </c>
      <c r="B20" s="29" t="s">
        <v>296</v>
      </c>
      <c r="C20" s="29" t="s">
        <v>297</v>
      </c>
      <c r="D20" s="29" t="s">
        <v>298</v>
      </c>
      <c r="E20" s="29"/>
      <c r="F20" s="29"/>
      <c r="G20" s="29"/>
    </row>
    <row r="21" customFormat="false" ht="15" hidden="false" customHeight="false" outlineLevel="0" collapsed="false">
      <c r="A21" s="10" t="s">
        <v>299</v>
      </c>
      <c r="B21" s="30" t="n">
        <v>0.084</v>
      </c>
      <c r="C21" s="56" t="n">
        <f aca="false">-PV(B21,'9 NCD Pricing'!B17-1,'9 NCD Pricing'!C17*1000,1000)</f>
        <v>1014.77282463953</v>
      </c>
      <c r="D21" s="62" t="n">
        <f aca="false">C21-1000</f>
        <v>14.7728246395291</v>
      </c>
    </row>
    <row r="22" customFormat="false" ht="15" hidden="false" customHeight="false" outlineLevel="0" collapsed="false">
      <c r="A22" s="10" t="s">
        <v>300</v>
      </c>
      <c r="B22" s="30" t="n">
        <v>0.0885</v>
      </c>
      <c r="C22" s="56" t="n">
        <f aca="false">-PV(B22,'9 NCD Pricing'!B17-1,'9 NCD Pricing'!C17*1000,1000)</f>
        <v>1000</v>
      </c>
      <c r="D22" s="62" t="n">
        <f aca="false">C22-1000</f>
        <v>0</v>
      </c>
    </row>
    <row r="23" customFormat="false" ht="15" hidden="false" customHeight="false" outlineLevel="0" collapsed="false">
      <c r="A23" s="10" t="s">
        <v>301</v>
      </c>
      <c r="B23" s="30" t="n">
        <v>0.094</v>
      </c>
      <c r="C23" s="56" t="n">
        <f aca="false">-PV(B23,'9 NCD Pricing'!B17-1,'9 NCD Pricing'!C17*1000,1000)</f>
        <v>982.336867952962</v>
      </c>
      <c r="D23" s="62" t="n">
        <f aca="false">C23-1000</f>
        <v>-17.6631320470378</v>
      </c>
    </row>
    <row r="31" customFormat="false" ht="15" hidden="false" customHeight="false" outlineLevel="0" collapsed="false">
      <c r="A31" s="20" t="s">
        <v>302</v>
      </c>
      <c r="B31" s="21"/>
      <c r="C31" s="21"/>
      <c r="D31" s="21"/>
      <c r="E31" s="21"/>
      <c r="F31" s="21"/>
      <c r="G31" s="21"/>
    </row>
    <row r="32" customFormat="false" ht="31.5" hidden="false" customHeight="true" outlineLevel="0" collapsed="false">
      <c r="A32" s="29" t="s">
        <v>303</v>
      </c>
      <c r="B32" s="29" t="s">
        <v>304</v>
      </c>
      <c r="C32" s="29"/>
      <c r="D32" s="29"/>
      <c r="E32" s="29"/>
      <c r="F32" s="29"/>
      <c r="G32" s="29"/>
    </row>
    <row r="33" customFormat="false" ht="15" hidden="false" customHeight="false" outlineLevel="0" collapsed="false">
      <c r="A33" s="26" t="n">
        <v>0</v>
      </c>
      <c r="B33" s="28" t="n">
        <f aca="false">$B$8</f>
        <v>98.25</v>
      </c>
    </row>
    <row r="34" customFormat="false" ht="15" hidden="false" customHeight="false" outlineLevel="0" collapsed="false">
      <c r="A34" s="26" t="n">
        <v>1</v>
      </c>
      <c r="B34" s="28" t="n">
        <f aca="false">-$B$7*100</f>
        <v>-0.05</v>
      </c>
    </row>
    <row r="35" customFormat="false" ht="15" hidden="false" customHeight="false" outlineLevel="0" collapsed="false">
      <c r="A35" s="26" t="n">
        <v>2</v>
      </c>
      <c r="B35" s="28" t="n">
        <f aca="false">-$B$7*100</f>
        <v>-0.05</v>
      </c>
    </row>
    <row r="36" customFormat="false" ht="15" hidden="false" customHeight="false" outlineLevel="0" collapsed="false">
      <c r="A36" s="26" t="n">
        <v>3</v>
      </c>
      <c r="B36" s="28" t="n">
        <f aca="false">-$B$7*100-100*(1+'9 NCD Pricing'!D16)^'9 NCD Pricing'!B16</f>
        <v>-127.7789125</v>
      </c>
    </row>
  </sheetData>
  <printOptions headings="false" gridLines="false" gridLinesSet="true" horizontalCentered="false" verticalCentered="false"/>
  <pageMargins left="0.75" right="0.75" top="1" bottom="1" header="0.5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>&amp;L&amp;"Arial,Bold"&amp;K123157The Mountain Path Academy&amp;R&amp;"Arial,Regular"&amp;A</oddHeader>
    <oddFooter>&amp;L&amp;"Arial,Regular"https://themountainpathacademy.com&amp;R&amp;"Arial,Regular"Page &amp;P of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23157"/>
    <pageSetUpPr fitToPage="true"/>
  </sheetPr>
  <dimension ref="A1:L2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4" min="2" style="0" width="13"/>
    <col collapsed="false" customWidth="true" hidden="false" outlineLevel="0" max="5" min="5" style="0" width="14"/>
    <col collapsed="false" customWidth="true" hidden="false" outlineLevel="0" max="6" min="6" style="0" width="4"/>
    <col collapsed="false" customWidth="true" hidden="false" outlineLevel="0" max="7" min="7" style="0" width="13"/>
    <col collapsed="false" customWidth="true" hidden="false" outlineLevel="0" max="8" min="8" style="0" width="16"/>
    <col collapsed="false" customWidth="true" hidden="false" outlineLevel="0" max="11" min="9" style="0" width="13"/>
    <col collapsed="false" customWidth="true" hidden="false" outlineLevel="0" max="12" min="12" style="0" width="14"/>
  </cols>
  <sheetData>
    <row r="1" customFormat="false" ht="19.7" hidden="false" customHeight="false" outlineLevel="0" collapsed="false">
      <c r="A1" s="18" t="s">
        <v>305</v>
      </c>
      <c r="L1" s="19" t="str">
        <f aca="false">HYPERLINK("#'Read Me'!A1","← Contents")</f>
        <v>← Contents</v>
      </c>
    </row>
    <row r="2" customFormat="false" ht="15" hidden="false" customHeight="false" outlineLevel="0" collapsed="false">
      <c r="A2" s="2" t="s">
        <v>306</v>
      </c>
    </row>
    <row r="3" customFormat="false" ht="21.75" hidden="false" customHeight="true" outlineLevel="0" collapsed="false">
      <c r="A3" s="3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5" customFormat="false" ht="15" hidden="false" customHeight="false" outlineLevel="0" collapsed="false">
      <c r="A5" s="20" t="s">
        <v>307</v>
      </c>
      <c r="B5" s="21"/>
      <c r="C5" s="21"/>
      <c r="D5" s="21"/>
      <c r="E5" s="21"/>
      <c r="F5" s="21"/>
      <c r="G5" s="21"/>
      <c r="H5" s="21"/>
      <c r="I5" s="21"/>
      <c r="J5" s="21"/>
      <c r="K5" s="21"/>
    </row>
    <row r="6" customFormat="false" ht="26.85" hidden="false" customHeight="false" outlineLevel="0" collapsed="false">
      <c r="A6" s="10" t="s">
        <v>141</v>
      </c>
      <c r="B6" s="25" t="n">
        <v>6000</v>
      </c>
      <c r="G6" s="10" t="s">
        <v>308</v>
      </c>
      <c r="H6" s="30" t="n">
        <v>0.071</v>
      </c>
    </row>
    <row r="7" customFormat="false" ht="26.85" hidden="false" customHeight="false" outlineLevel="0" collapsed="false">
      <c r="A7" s="10" t="s">
        <v>309</v>
      </c>
      <c r="B7" s="30" t="n">
        <v>0.05</v>
      </c>
      <c r="G7" s="10" t="s">
        <v>134</v>
      </c>
      <c r="H7" s="23" t="n">
        <v>8</v>
      </c>
    </row>
    <row r="8" customFormat="false" ht="26.85" hidden="false" customHeight="false" outlineLevel="0" collapsed="false">
      <c r="A8" s="10" t="s">
        <v>310</v>
      </c>
      <c r="B8" s="39" t="n">
        <f aca="false">B6*(1-B7)</f>
        <v>5700</v>
      </c>
      <c r="G8" s="10" t="s">
        <v>311</v>
      </c>
      <c r="H8" s="23" t="n">
        <v>10</v>
      </c>
    </row>
    <row r="10" customFormat="false" ht="15" hidden="false" customHeight="false" outlineLevel="0" collapsed="false">
      <c r="A10" s="20" t="s">
        <v>312</v>
      </c>
      <c r="B10" s="21"/>
      <c r="C10" s="21"/>
      <c r="D10" s="21"/>
      <c r="E10" s="21"/>
      <c r="G10" s="5" t="s">
        <v>313</v>
      </c>
    </row>
    <row r="11" customFormat="false" ht="31.5" hidden="false" customHeight="true" outlineLevel="0" collapsed="false">
      <c r="A11" s="29" t="s">
        <v>92</v>
      </c>
      <c r="B11" s="29" t="s">
        <v>314</v>
      </c>
      <c r="C11" s="29" t="s">
        <v>315</v>
      </c>
      <c r="D11" s="29" t="s">
        <v>261</v>
      </c>
      <c r="E11" s="29" t="s">
        <v>316</v>
      </c>
      <c r="G11" s="29" t="s">
        <v>159</v>
      </c>
      <c r="H11" s="29" t="s">
        <v>317</v>
      </c>
      <c r="I11" s="29" t="s">
        <v>314</v>
      </c>
      <c r="J11" s="29" t="s">
        <v>315</v>
      </c>
      <c r="K11" s="29" t="s">
        <v>261</v>
      </c>
    </row>
    <row r="12" customFormat="false" ht="15" hidden="false" customHeight="false" outlineLevel="0" collapsed="false">
      <c r="A12" s="30" t="n">
        <v>0.0638</v>
      </c>
      <c r="B12" s="25" t="n">
        <v>1200</v>
      </c>
      <c r="C12" s="32" t="n">
        <f aca="false">SUM($B$12:B12)</f>
        <v>1200</v>
      </c>
      <c r="D12" s="32" t="n">
        <f aca="false">MIN(B12,MAX(0,$B$8-(C12-B12)))</f>
        <v>1200</v>
      </c>
      <c r="E12" s="34" t="n">
        <f aca="false">IF(D12&gt;0,-PV(A12/2,$H$8*2,$B$18*100/2,100),"—")</f>
        <v>100.292389195885</v>
      </c>
      <c r="G12" s="22" t="n">
        <v>104.3</v>
      </c>
      <c r="H12" s="27" t="n">
        <f aca="false">RATE($H$7*2,$H$6*100/2,-G12,100)*2</f>
        <v>0.0640471155659349</v>
      </c>
      <c r="I12" s="25" t="n">
        <v>1200</v>
      </c>
      <c r="J12" s="32" t="n">
        <f aca="false">SUM($I$12:I12)</f>
        <v>1200</v>
      </c>
      <c r="K12" s="32" t="n">
        <f aca="false">MIN(I12,MAX(0,$B$8-(J12-I12)))</f>
        <v>1200</v>
      </c>
    </row>
    <row r="13" customFormat="false" ht="15" hidden="false" customHeight="false" outlineLevel="0" collapsed="false">
      <c r="A13" s="30" t="n">
        <v>0.064</v>
      </c>
      <c r="B13" s="25" t="n">
        <v>1500</v>
      </c>
      <c r="C13" s="32" t="n">
        <f aca="false">SUM($B$12:B13)</f>
        <v>2700</v>
      </c>
      <c r="D13" s="32" t="n">
        <f aca="false">MIN(B13,MAX(0,$B$8-(C13-B13)))</f>
        <v>1500</v>
      </c>
      <c r="E13" s="34" t="n">
        <f aca="false">IF(D13&gt;0,-PV(A13/2,$H$8*2,$B$18*100/2,100),"—")</f>
        <v>100.146060625168</v>
      </c>
      <c r="G13" s="22" t="n">
        <v>104.15</v>
      </c>
      <c r="H13" s="27" t="n">
        <f aca="false">RATE($H$7*2,$H$6*100/2,-G13,100)*2</f>
        <v>0.0642836335492138</v>
      </c>
      <c r="I13" s="25" t="n">
        <v>1500</v>
      </c>
      <c r="J13" s="32" t="n">
        <f aca="false">SUM($I$12:I13)</f>
        <v>2700</v>
      </c>
      <c r="K13" s="32" t="n">
        <f aca="false">MIN(I13,MAX(0,$B$8-(J13-I13)))</f>
        <v>1500</v>
      </c>
    </row>
    <row r="14" customFormat="false" ht="15" hidden="false" customHeight="false" outlineLevel="0" collapsed="false">
      <c r="A14" s="30" t="n">
        <v>0.0641</v>
      </c>
      <c r="B14" s="25" t="n">
        <v>1800</v>
      </c>
      <c r="C14" s="32" t="n">
        <f aca="false">SUM($B$12:B14)</f>
        <v>4500</v>
      </c>
      <c r="D14" s="32" t="n">
        <f aca="false">MIN(B14,MAX(0,$B$8-(C14-B14)))</f>
        <v>1800</v>
      </c>
      <c r="E14" s="34" t="n">
        <f aca="false">IF(D14&gt;0,-PV(A14/2,$H$8*2,$B$18*100/2,100),"—")</f>
        <v>100.072996853225</v>
      </c>
      <c r="G14" s="22" t="n">
        <v>104.05</v>
      </c>
      <c r="H14" s="27" t="n">
        <f aca="false">RATE($H$7*2,$H$6*100/2,-G14,100)*2</f>
        <v>0.0644415467644523</v>
      </c>
      <c r="I14" s="25" t="n">
        <v>1800</v>
      </c>
      <c r="J14" s="32" t="n">
        <f aca="false">SUM($I$12:I14)</f>
        <v>4500</v>
      </c>
      <c r="K14" s="32" t="n">
        <f aca="false">MIN(I14,MAX(0,$B$8-(J14-I14)))</f>
        <v>1800</v>
      </c>
    </row>
    <row r="15" customFormat="false" ht="15" hidden="false" customHeight="false" outlineLevel="0" collapsed="false">
      <c r="A15" s="30" t="n">
        <v>0.0642</v>
      </c>
      <c r="B15" s="25" t="n">
        <v>1600</v>
      </c>
      <c r="C15" s="32" t="n">
        <f aca="false">SUM($B$12:B15)</f>
        <v>6100</v>
      </c>
      <c r="D15" s="32" t="n">
        <f aca="false">MIN(B15,MAX(0,$B$8-(C15-B15)))</f>
        <v>1200</v>
      </c>
      <c r="E15" s="34" t="n">
        <f aca="false">IF(D15&gt;0,-PV(A15/2,$H$8*2,$B$18*100/2,100),"—")</f>
        <v>100</v>
      </c>
      <c r="G15" s="22" t="n">
        <v>103.95</v>
      </c>
      <c r="H15" s="27" t="n">
        <f aca="false">RATE($H$7*2,$H$6*100/2,-G15,100)*2</f>
        <v>0.0645996481215303</v>
      </c>
      <c r="I15" s="25" t="n">
        <v>1600</v>
      </c>
      <c r="J15" s="32" t="n">
        <f aca="false">SUM($I$12:I15)</f>
        <v>6100</v>
      </c>
      <c r="K15" s="32" t="n">
        <f aca="false">MIN(I15,MAX(0,$B$8-(J15-I15)))</f>
        <v>1200</v>
      </c>
    </row>
    <row r="16" customFormat="false" ht="15" hidden="false" customHeight="false" outlineLevel="0" collapsed="false">
      <c r="A16" s="30" t="n">
        <v>0.0644</v>
      </c>
      <c r="B16" s="25" t="n">
        <v>1400</v>
      </c>
      <c r="C16" s="32" t="n">
        <f aca="false">SUM($B$12:B16)</f>
        <v>7500</v>
      </c>
      <c r="D16" s="32" t="n">
        <f aca="false">MIN(B16,MAX(0,$B$8-(C16-B16)))</f>
        <v>0</v>
      </c>
      <c r="E16" s="34" t="str">
        <f aca="false">IF(D16&gt;0,-PV(A16/2,$H$8*2,$B$18*100/2,100),"—")</f>
        <v>—</v>
      </c>
      <c r="G16" s="22" t="n">
        <v>103.8</v>
      </c>
      <c r="H16" s="27" t="n">
        <f aca="false">RATE($H$7*2,$H$6*100/2,-G16,100)*2</f>
        <v>0.0648371538533011</v>
      </c>
      <c r="I16" s="25" t="n">
        <v>1400</v>
      </c>
      <c r="J16" s="32" t="n">
        <f aca="false">SUM($I$12:I16)</f>
        <v>7500</v>
      </c>
      <c r="K16" s="32" t="n">
        <f aca="false">MIN(I16,MAX(0,$B$8-(J16-I16)))</f>
        <v>0</v>
      </c>
    </row>
    <row r="18" customFormat="false" ht="26.85" hidden="false" customHeight="false" outlineLevel="0" collapsed="false">
      <c r="A18" s="36" t="s">
        <v>318</v>
      </c>
      <c r="B18" s="38" t="n">
        <f aca="false">SUMPRODUCT((C12:C16&gt;=$B$8)*((C12:C16-B12:B16)&lt;$B$8)*A12:A16)</f>
        <v>0.0642</v>
      </c>
      <c r="G18" s="36" t="s">
        <v>319</v>
      </c>
      <c r="H18" s="63" t="n">
        <f aca="false">SUMPRODUCT((J12:J16&gt;=$B$8)*((J12:J16-I12:I16)&lt;$B$8)*G12:G16)</f>
        <v>103.95</v>
      </c>
    </row>
    <row r="19" customFormat="false" ht="26.85" hidden="false" customHeight="false" outlineLevel="0" collapsed="false">
      <c r="G19" s="10" t="s">
        <v>320</v>
      </c>
      <c r="H19" s="27" t="n">
        <f aca="false">RATE($H$7*2,$H$6*100/2,-H18,100)*2</f>
        <v>0.0645996481215303</v>
      </c>
    </row>
    <row r="20" customFormat="false" ht="26.85" hidden="false" customHeight="false" outlineLevel="0" collapsed="false">
      <c r="G20" s="10" t="s">
        <v>321</v>
      </c>
      <c r="H20" s="51" t="n">
        <f aca="false">H6</f>
        <v>0.071</v>
      </c>
    </row>
    <row r="22" customFormat="false" ht="15" hidden="false" customHeight="false" outlineLevel="0" collapsed="false">
      <c r="A22" s="20" t="s">
        <v>322</v>
      </c>
      <c r="B22" s="21"/>
      <c r="C22" s="21"/>
      <c r="D22" s="21"/>
      <c r="E22" s="21"/>
      <c r="F22" s="21"/>
      <c r="G22" s="21"/>
      <c r="H22" s="21"/>
      <c r="I22" s="21"/>
      <c r="J22" s="21"/>
      <c r="K22" s="21"/>
    </row>
    <row r="23" customFormat="false" ht="31.5" hidden="false" customHeight="true" outlineLevel="0" collapsed="false">
      <c r="A23" s="29"/>
      <c r="B23" s="29" t="s">
        <v>323</v>
      </c>
      <c r="C23" s="29"/>
      <c r="D23" s="29"/>
      <c r="E23" s="29"/>
      <c r="F23" s="29"/>
      <c r="G23" s="29" t="s">
        <v>324</v>
      </c>
      <c r="H23" s="29"/>
      <c r="I23" s="29"/>
      <c r="J23" s="29"/>
      <c r="K23" s="29"/>
    </row>
    <row r="24" customFormat="false" ht="15" hidden="false" customHeight="false" outlineLevel="0" collapsed="false">
      <c r="A24" s="36" t="s">
        <v>325</v>
      </c>
      <c r="B24" s="64" t="s">
        <v>195</v>
      </c>
      <c r="C24" s="64"/>
      <c r="D24" s="64"/>
      <c r="E24" s="64"/>
      <c r="G24" s="64" t="s">
        <v>326</v>
      </c>
      <c r="H24" s="64"/>
      <c r="I24" s="64"/>
      <c r="J24" s="64"/>
      <c r="K24" s="64"/>
    </row>
    <row r="25" customFormat="false" ht="26.85" hidden="false" customHeight="false" outlineLevel="0" collapsed="false">
      <c r="A25" s="36" t="s">
        <v>327</v>
      </c>
      <c r="B25" s="64" t="s">
        <v>328</v>
      </c>
      <c r="C25" s="64"/>
      <c r="D25" s="64"/>
      <c r="E25" s="64"/>
      <c r="G25" s="64" t="s">
        <v>329</v>
      </c>
      <c r="H25" s="64"/>
      <c r="I25" s="64"/>
      <c r="J25" s="64"/>
      <c r="K25" s="64"/>
    </row>
    <row r="26" customFormat="false" ht="26.85" hidden="false" customHeight="false" outlineLevel="0" collapsed="false">
      <c r="A26" s="36" t="s">
        <v>330</v>
      </c>
      <c r="B26" s="64" t="s">
        <v>331</v>
      </c>
      <c r="C26" s="64"/>
      <c r="D26" s="64"/>
      <c r="E26" s="64"/>
      <c r="G26" s="64" t="s">
        <v>332</v>
      </c>
      <c r="H26" s="64"/>
      <c r="I26" s="64"/>
      <c r="J26" s="64"/>
      <c r="K26" s="64"/>
    </row>
    <row r="27" customFormat="false" ht="15" hidden="false" customHeight="false" outlineLevel="0" collapsed="false">
      <c r="A27" s="36" t="s">
        <v>333</v>
      </c>
      <c r="B27" s="64" t="s">
        <v>334</v>
      </c>
      <c r="C27" s="64"/>
      <c r="D27" s="64"/>
      <c r="E27" s="64"/>
      <c r="G27" s="64" t="s">
        <v>335</v>
      </c>
      <c r="H27" s="64"/>
      <c r="I27" s="64"/>
      <c r="J27" s="64"/>
      <c r="K27" s="64"/>
    </row>
  </sheetData>
  <mergeCells count="8">
    <mergeCell ref="B24:E24"/>
    <mergeCell ref="G24:K24"/>
    <mergeCell ref="B25:E25"/>
    <mergeCell ref="G25:K25"/>
    <mergeCell ref="B26:E26"/>
    <mergeCell ref="G26:K26"/>
    <mergeCell ref="B27:E27"/>
    <mergeCell ref="G27:K27"/>
  </mergeCells>
  <printOptions headings="false" gridLines="false" gridLinesSet="true" horizontalCentered="false" verticalCentered="false"/>
  <pageMargins left="0.75" right="0.75" top="1" bottom="1" header="0.5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>&amp;L&amp;"Arial,Bold"&amp;K123157The Mountain Path Academy&amp;R&amp;"Arial,Regular"&amp;A</oddHeader>
    <oddFooter>&amp;L&amp;"Arial,Regular"https://themountainpathacademy.com&amp;R&amp;"Arial,Regular"Page &amp;P of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23157"/>
    <pageSetUpPr fitToPage="true"/>
  </sheetPr>
  <dimension ref="A1:G2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6"/>
    <col collapsed="false" customWidth="true" hidden="false" outlineLevel="0" max="2" min="2" style="0" width="14"/>
    <col collapsed="false" customWidth="true" hidden="false" outlineLevel="0" max="3" min="3" style="0" width="16"/>
    <col collapsed="false" customWidth="true" hidden="false" outlineLevel="0" max="5" min="4" style="0" width="18"/>
    <col collapsed="false" customWidth="true" hidden="false" outlineLevel="0" max="6" min="6" style="0" width="16"/>
    <col collapsed="false" customWidth="true" hidden="false" outlineLevel="0" max="7" min="7" style="0" width="14"/>
    <col collapsed="false" customWidth="true" hidden="false" outlineLevel="0" max="8" min="8" style="0" width="16"/>
  </cols>
  <sheetData>
    <row r="1" customFormat="false" ht="19.7" hidden="false" customHeight="false" outlineLevel="0" collapsed="false">
      <c r="A1" s="18" t="s">
        <v>336</v>
      </c>
      <c r="G1" s="19" t="str">
        <f aca="false">HYPERLINK("#'Read Me'!A1","← Contents")</f>
        <v>← Contents</v>
      </c>
    </row>
    <row r="2" customFormat="false" ht="15" hidden="false" customHeight="false" outlineLevel="0" collapsed="false">
      <c r="A2" s="2" t="s">
        <v>337</v>
      </c>
    </row>
    <row r="3" customFormat="false" ht="21.75" hidden="false" customHeight="true" outlineLevel="0" collapsed="false">
      <c r="A3" s="3" t="s">
        <v>2</v>
      </c>
      <c r="B3" s="4"/>
      <c r="C3" s="4"/>
      <c r="D3" s="4"/>
      <c r="E3" s="4"/>
      <c r="F3" s="4"/>
      <c r="G3" s="4"/>
    </row>
    <row r="5" customFormat="false" ht="15" hidden="false" customHeight="false" outlineLevel="0" collapsed="false">
      <c r="A5" s="20" t="s">
        <v>338</v>
      </c>
      <c r="B5" s="21"/>
      <c r="C5" s="21"/>
      <c r="D5" s="21"/>
      <c r="E5" s="21"/>
      <c r="F5" s="21"/>
    </row>
    <row r="6" customFormat="false" ht="31.5" hidden="false" customHeight="true" outlineLevel="0" collapsed="false">
      <c r="A6" s="29" t="s">
        <v>92</v>
      </c>
      <c r="B6" s="29" t="s">
        <v>95</v>
      </c>
      <c r="C6" s="29" t="s">
        <v>339</v>
      </c>
      <c r="D6" s="29" t="s">
        <v>340</v>
      </c>
      <c r="E6" s="29" t="s">
        <v>341</v>
      </c>
      <c r="F6" s="29" t="s">
        <v>342</v>
      </c>
    </row>
    <row r="7" customFormat="false" ht="15" hidden="false" customHeight="false" outlineLevel="0" collapsed="false">
      <c r="A7" s="65" t="n">
        <f aca="false">'12 Caselet New vs Reissue'!A12</f>
        <v>0.0638</v>
      </c>
      <c r="B7" s="66" t="n">
        <f aca="false">'12 Caselet New vs Reissue'!D12</f>
        <v>1200</v>
      </c>
      <c r="C7" s="67" t="n">
        <f aca="false">'12 Caselet New vs Reissue'!E12</f>
        <v>100.292389195885</v>
      </c>
      <c r="D7" s="32" t="n">
        <f aca="false">B7*C7/100</f>
        <v>1203.50867035063</v>
      </c>
      <c r="E7" s="32" t="n">
        <f aca="false">B7*100/100</f>
        <v>1200</v>
      </c>
      <c r="F7" s="32" t="n">
        <f aca="false">D7-E7</f>
        <v>3.50867035062561</v>
      </c>
    </row>
    <row r="8" customFormat="false" ht="15" hidden="false" customHeight="false" outlineLevel="0" collapsed="false">
      <c r="A8" s="65" t="n">
        <f aca="false">'12 Caselet New vs Reissue'!A13</f>
        <v>0.064</v>
      </c>
      <c r="B8" s="66" t="n">
        <f aca="false">'12 Caselet New vs Reissue'!D13</f>
        <v>1500</v>
      </c>
      <c r="C8" s="67" t="n">
        <f aca="false">'12 Caselet New vs Reissue'!E13</f>
        <v>100.146060625168</v>
      </c>
      <c r="D8" s="32" t="n">
        <f aca="false">B8*C8/100</f>
        <v>1502.19090937753</v>
      </c>
      <c r="E8" s="32" t="n">
        <f aca="false">B8*100/100</f>
        <v>1500</v>
      </c>
      <c r="F8" s="32" t="n">
        <f aca="false">D8-E8</f>
        <v>2.19090937752571</v>
      </c>
    </row>
    <row r="9" customFormat="false" ht="15" hidden="false" customHeight="false" outlineLevel="0" collapsed="false">
      <c r="A9" s="65" t="n">
        <f aca="false">'12 Caselet New vs Reissue'!A14</f>
        <v>0.0641</v>
      </c>
      <c r="B9" s="66" t="n">
        <f aca="false">'12 Caselet New vs Reissue'!D14</f>
        <v>1800</v>
      </c>
      <c r="C9" s="67" t="n">
        <f aca="false">'12 Caselet New vs Reissue'!E14</f>
        <v>100.072996853225</v>
      </c>
      <c r="D9" s="32" t="n">
        <f aca="false">B9*C9/100</f>
        <v>1801.31394335805</v>
      </c>
      <c r="E9" s="32" t="n">
        <f aca="false">B9*100/100</f>
        <v>1800</v>
      </c>
      <c r="F9" s="32" t="n">
        <f aca="false">D9-E9</f>
        <v>1.31394335804498</v>
      </c>
    </row>
    <row r="10" customFormat="false" ht="15" hidden="false" customHeight="false" outlineLevel="0" collapsed="false">
      <c r="A10" s="65" t="n">
        <f aca="false">'12 Caselet New vs Reissue'!A15</f>
        <v>0.0642</v>
      </c>
      <c r="B10" s="66" t="n">
        <f aca="false">'12 Caselet New vs Reissue'!D15</f>
        <v>1200</v>
      </c>
      <c r="C10" s="67" t="n">
        <f aca="false">'12 Caselet New vs Reissue'!E15</f>
        <v>100</v>
      </c>
      <c r="D10" s="32" t="n">
        <f aca="false">B10*C10/100</f>
        <v>1200</v>
      </c>
      <c r="E10" s="32" t="n">
        <f aca="false">B10*100/100</f>
        <v>1200</v>
      </c>
      <c r="F10" s="32" t="n">
        <f aca="false">D10-E10</f>
        <v>0</v>
      </c>
    </row>
    <row r="11" customFormat="false" ht="15" hidden="false" customHeight="false" outlineLevel="0" collapsed="false">
      <c r="A11" s="36" t="s">
        <v>99</v>
      </c>
      <c r="B11" s="39" t="n">
        <f aca="false">SUM(B7:B10)</f>
        <v>5700</v>
      </c>
      <c r="D11" s="39" t="n">
        <f aca="false">SUM(D7:D10)</f>
        <v>5707.0135230862</v>
      </c>
      <c r="E11" s="39" t="n">
        <f aca="false">SUM(E7:E10)</f>
        <v>5700</v>
      </c>
      <c r="F11" s="41" t="n">
        <f aca="false">SUM(F7:F10)</f>
        <v>7.0135230861963</v>
      </c>
    </row>
    <row r="12" customFormat="false" ht="26.85" hidden="false" customHeight="false" outlineLevel="0" collapsed="false">
      <c r="A12" s="10" t="s">
        <v>343</v>
      </c>
      <c r="B12" s="13" t="s">
        <v>344</v>
      </c>
    </row>
    <row r="14" customFormat="false" ht="15" hidden="false" customHeight="false" outlineLevel="0" collapsed="false">
      <c r="A14" s="20" t="s">
        <v>345</v>
      </c>
      <c r="B14" s="21"/>
      <c r="C14" s="21"/>
      <c r="D14" s="21"/>
      <c r="E14" s="21"/>
      <c r="F14" s="21"/>
    </row>
    <row r="15" customFormat="false" ht="31.5" hidden="false" customHeight="true" outlineLevel="0" collapsed="false">
      <c r="A15" s="29" t="s">
        <v>346</v>
      </c>
      <c r="B15" s="29" t="s">
        <v>95</v>
      </c>
      <c r="C15" s="29" t="s">
        <v>317</v>
      </c>
      <c r="D15" s="29" t="s">
        <v>340</v>
      </c>
      <c r="E15" s="29" t="s">
        <v>341</v>
      </c>
      <c r="F15" s="29" t="s">
        <v>342</v>
      </c>
    </row>
    <row r="16" customFormat="false" ht="15" hidden="false" customHeight="false" outlineLevel="0" collapsed="false">
      <c r="A16" s="68" t="n">
        <f aca="false">'12 Caselet New vs Reissue'!G12</f>
        <v>104.3</v>
      </c>
      <c r="B16" s="66" t="n">
        <f aca="false">'12 Caselet New vs Reissue'!K12</f>
        <v>1200</v>
      </c>
      <c r="C16" s="49" t="n">
        <f aca="false">'12 Caselet New vs Reissue'!H12</f>
        <v>0.0640471155659349</v>
      </c>
      <c r="D16" s="32" t="n">
        <f aca="false">B16*A16/100</f>
        <v>1251.6</v>
      </c>
      <c r="E16" s="32" t="n">
        <f aca="false">B16*'12 Caselet New vs Reissue'!$H$18/100</f>
        <v>1247.4</v>
      </c>
      <c r="F16" s="32" t="n">
        <f aca="false">D16-E16</f>
        <v>4.19999999999982</v>
      </c>
    </row>
    <row r="17" customFormat="false" ht="15" hidden="false" customHeight="false" outlineLevel="0" collapsed="false">
      <c r="A17" s="68" t="n">
        <f aca="false">'12 Caselet New vs Reissue'!G13</f>
        <v>104.15</v>
      </c>
      <c r="B17" s="66" t="n">
        <f aca="false">'12 Caselet New vs Reissue'!K13</f>
        <v>1500</v>
      </c>
      <c r="C17" s="49" t="n">
        <f aca="false">'12 Caselet New vs Reissue'!H13</f>
        <v>0.0642836335492138</v>
      </c>
      <c r="D17" s="32" t="n">
        <f aca="false">B17*A17/100</f>
        <v>1562.25</v>
      </c>
      <c r="E17" s="32" t="n">
        <f aca="false">B17*'12 Caselet New vs Reissue'!$H$18/100</f>
        <v>1559.25</v>
      </c>
      <c r="F17" s="32" t="n">
        <f aca="false">D17-E17</f>
        <v>3</v>
      </c>
    </row>
    <row r="18" customFormat="false" ht="15" hidden="false" customHeight="false" outlineLevel="0" collapsed="false">
      <c r="A18" s="68" t="n">
        <f aca="false">'12 Caselet New vs Reissue'!G14</f>
        <v>104.05</v>
      </c>
      <c r="B18" s="66" t="n">
        <f aca="false">'12 Caselet New vs Reissue'!K14</f>
        <v>1800</v>
      </c>
      <c r="C18" s="49" t="n">
        <f aca="false">'12 Caselet New vs Reissue'!H14</f>
        <v>0.0644415467644523</v>
      </c>
      <c r="D18" s="32" t="n">
        <f aca="false">B18*A18/100</f>
        <v>1872.9</v>
      </c>
      <c r="E18" s="32" t="n">
        <f aca="false">B18*'12 Caselet New vs Reissue'!$H$18/100</f>
        <v>1871.1</v>
      </c>
      <c r="F18" s="32" t="n">
        <f aca="false">D18-E18</f>
        <v>1.80000000000018</v>
      </c>
    </row>
    <row r="19" customFormat="false" ht="15" hidden="false" customHeight="false" outlineLevel="0" collapsed="false">
      <c r="A19" s="68" t="n">
        <f aca="false">'12 Caselet New vs Reissue'!G15</f>
        <v>103.95</v>
      </c>
      <c r="B19" s="66" t="n">
        <f aca="false">'12 Caselet New vs Reissue'!K15</f>
        <v>1200</v>
      </c>
      <c r="C19" s="49" t="n">
        <f aca="false">'12 Caselet New vs Reissue'!H15</f>
        <v>0.0645996481215303</v>
      </c>
      <c r="D19" s="32" t="n">
        <f aca="false">B19*A19/100</f>
        <v>1247.4</v>
      </c>
      <c r="E19" s="32" t="n">
        <f aca="false">B19*'12 Caselet New vs Reissue'!$H$18/100</f>
        <v>1247.4</v>
      </c>
      <c r="F19" s="32" t="n">
        <f aca="false">D19-E19</f>
        <v>0</v>
      </c>
    </row>
    <row r="20" customFormat="false" ht="15" hidden="false" customHeight="false" outlineLevel="0" collapsed="false">
      <c r="A20" s="36" t="s">
        <v>99</v>
      </c>
      <c r="B20" s="39" t="n">
        <f aca="false">SUM(B16:B19)</f>
        <v>5700</v>
      </c>
      <c r="D20" s="39" t="n">
        <f aca="false">SUM(D16:D19)</f>
        <v>5934.15</v>
      </c>
      <c r="E20" s="39" t="n">
        <f aca="false">SUM(E16:E19)</f>
        <v>5925.15</v>
      </c>
      <c r="F20" s="41" t="n">
        <f aca="false">SUM(F16:F19)</f>
        <v>9</v>
      </c>
    </row>
    <row r="22" customFormat="false" ht="15" hidden="false" customHeight="false" outlineLevel="0" collapsed="false">
      <c r="A22" s="20" t="s">
        <v>347</v>
      </c>
      <c r="B22" s="21"/>
      <c r="C22" s="21"/>
      <c r="D22" s="21"/>
      <c r="E22" s="21"/>
      <c r="F22" s="21"/>
    </row>
    <row r="23" customFormat="false" ht="15" hidden="false" customHeight="false" outlineLevel="0" collapsed="false">
      <c r="A23" s="10" t="s">
        <v>348</v>
      </c>
      <c r="B23" s="34" t="n">
        <f aca="false">D11/B11*100</f>
        <v>100.12304426467</v>
      </c>
    </row>
    <row r="24" customFormat="false" ht="26.85" hidden="false" customHeight="false" outlineLevel="0" collapsed="false">
      <c r="A24" s="10" t="s">
        <v>349</v>
      </c>
      <c r="B24" s="32" t="n">
        <f aca="false">'12 Caselet New vs Reissue'!B6*'12 Caselet New vs Reissue'!B7*B23/100</f>
        <v>300.36913279401</v>
      </c>
    </row>
    <row r="25" customFormat="false" ht="26.85" hidden="false" customHeight="false" outlineLevel="0" collapsed="false">
      <c r="A25" s="10" t="s">
        <v>350</v>
      </c>
      <c r="B25" s="32" t="n">
        <f aca="false">'12 Caselet New vs Reissue'!B6*'12 Caselet New vs Reissue'!B7</f>
        <v>300</v>
      </c>
    </row>
    <row r="27" customFormat="false" ht="15" hidden="false" customHeight="false" outlineLevel="0" collapsed="false">
      <c r="A27" s="69" t="s">
        <v>351</v>
      </c>
    </row>
  </sheetData>
  <printOptions headings="false" gridLines="false" gridLinesSet="true" horizontalCentered="false" verticalCentered="false"/>
  <pageMargins left="0.75" right="0.75" top="1" bottom="1" header="0.5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>&amp;L&amp;"Arial,Bold"&amp;K123157The Mountain Path Academy&amp;R&amp;"Arial,Regular"&amp;A</oddHeader>
    <oddFooter>&amp;L&amp;"Arial,Regular"https://themountainpathacademy.com&amp;R&amp;"Arial,Regular"Page &amp;P of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23157"/>
    <pageSetUpPr fitToPage="true"/>
  </sheetPr>
  <dimension ref="A1:G4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5" min="2" style="0" width="16"/>
    <col collapsed="false" customWidth="true" hidden="false" outlineLevel="0" max="6" min="6" style="0" width="30"/>
    <col collapsed="false" customWidth="true" hidden="false" outlineLevel="0" max="7" min="7" style="0" width="14"/>
    <col collapsed="false" customWidth="true" hidden="false" outlineLevel="0" max="8" min="8" style="0" width="16"/>
  </cols>
  <sheetData>
    <row r="1" customFormat="false" ht="19.7" hidden="false" customHeight="false" outlineLevel="0" collapsed="false">
      <c r="A1" s="18" t="s">
        <v>352</v>
      </c>
      <c r="G1" s="19" t="str">
        <f aca="false">HYPERLINK("#'Read Me'!A1","← Contents")</f>
        <v>← Contents</v>
      </c>
    </row>
    <row r="2" customFormat="false" ht="15" hidden="false" customHeight="false" outlineLevel="0" collapsed="false">
      <c r="A2" s="2" t="s">
        <v>353</v>
      </c>
    </row>
    <row r="3" customFormat="false" ht="21.75" hidden="false" customHeight="true" outlineLevel="0" collapsed="false">
      <c r="A3" s="3" t="s">
        <v>2</v>
      </c>
      <c r="B3" s="4"/>
      <c r="C3" s="4"/>
      <c r="D3" s="4"/>
      <c r="E3" s="4"/>
      <c r="F3" s="4"/>
      <c r="G3" s="4"/>
    </row>
    <row r="5" customFormat="false" ht="15" hidden="false" customHeight="false" outlineLevel="0" collapsed="false">
      <c r="A5" s="20" t="s">
        <v>354</v>
      </c>
      <c r="B5" s="21"/>
      <c r="C5" s="21"/>
      <c r="D5" s="21"/>
      <c r="E5" s="21"/>
      <c r="F5" s="21"/>
    </row>
    <row r="6" customFormat="false" ht="15" hidden="false" customHeight="false" outlineLevel="0" collapsed="false">
      <c r="A6" s="10" t="s">
        <v>355</v>
      </c>
      <c r="B6" s="30" t="n">
        <v>0.0645</v>
      </c>
    </row>
    <row r="7" customFormat="false" ht="15" hidden="false" customHeight="false" outlineLevel="0" collapsed="false">
      <c r="A7" s="10" t="s">
        <v>356</v>
      </c>
      <c r="B7" s="30" t="n">
        <v>0.066</v>
      </c>
    </row>
    <row r="8" customFormat="false" ht="15" hidden="false" customHeight="false" outlineLevel="0" collapsed="false">
      <c r="A8" s="10" t="s">
        <v>357</v>
      </c>
      <c r="B8" s="23" t="n">
        <v>7</v>
      </c>
    </row>
    <row r="9" customFormat="false" ht="15" hidden="false" customHeight="false" outlineLevel="0" collapsed="false">
      <c r="A9" s="10" t="s">
        <v>358</v>
      </c>
      <c r="B9" s="27" t="n">
        <f aca="false">B6+(B8-5)/(10-5)*(B7-B6)</f>
        <v>0.0651</v>
      </c>
    </row>
    <row r="10" customFormat="false" ht="15" hidden="false" customHeight="false" outlineLevel="0" collapsed="false">
      <c r="A10" s="36" t="s">
        <v>359</v>
      </c>
      <c r="B10" s="70" t="n">
        <f aca="false">(1+B9/2)^2-1</f>
        <v>0.0661595025000001</v>
      </c>
      <c r="C10" s="35" t="s">
        <v>360</v>
      </c>
    </row>
    <row r="12" customFormat="false" ht="15" hidden="false" customHeight="false" outlineLevel="0" collapsed="false">
      <c r="A12" s="20" t="s">
        <v>361</v>
      </c>
      <c r="B12" s="21"/>
      <c r="C12" s="21"/>
      <c r="D12" s="21"/>
      <c r="E12" s="21"/>
      <c r="F12" s="21"/>
    </row>
    <row r="13" customFormat="false" ht="15" hidden="false" customHeight="false" outlineLevel="0" collapsed="false">
      <c r="A13" s="10" t="s">
        <v>362</v>
      </c>
      <c r="B13" s="24" t="n">
        <v>0.0135</v>
      </c>
      <c r="C13" s="35" t="s">
        <v>363</v>
      </c>
    </row>
    <row r="14" customFormat="false" ht="15" hidden="false" customHeight="false" outlineLevel="0" collapsed="false">
      <c r="A14" s="10" t="s">
        <v>364</v>
      </c>
      <c r="B14" s="30" t="n">
        <v>0.0005</v>
      </c>
    </row>
    <row r="15" customFormat="false" ht="15" hidden="false" customHeight="false" outlineLevel="0" collapsed="false">
      <c r="A15" s="10" t="s">
        <v>365</v>
      </c>
      <c r="B15" s="30" t="n">
        <v>0.0005</v>
      </c>
    </row>
    <row r="16" customFormat="false" ht="15" hidden="false" customHeight="false" outlineLevel="0" collapsed="false">
      <c r="A16" s="10" t="s">
        <v>366</v>
      </c>
      <c r="B16" s="30" t="n">
        <v>-0.0003</v>
      </c>
    </row>
    <row r="17" customFormat="false" ht="15" hidden="false" customHeight="false" outlineLevel="0" collapsed="false">
      <c r="A17" s="36" t="s">
        <v>296</v>
      </c>
      <c r="B17" s="44" t="n">
        <f aca="false">B10+SUM(B13:B16)</f>
        <v>0.0803595025000001</v>
      </c>
    </row>
    <row r="19" customFormat="false" ht="15" hidden="false" customHeight="false" outlineLevel="0" collapsed="false">
      <c r="A19" s="20" t="s">
        <v>367</v>
      </c>
      <c r="B19" s="21"/>
      <c r="C19" s="21"/>
      <c r="D19" s="21"/>
      <c r="E19" s="21"/>
      <c r="F19" s="21"/>
    </row>
    <row r="20" customFormat="false" ht="15" hidden="false" customHeight="false" outlineLevel="0" collapsed="false">
      <c r="A20" s="10" t="s">
        <v>210</v>
      </c>
      <c r="B20" s="25" t="n">
        <v>1000</v>
      </c>
    </row>
    <row r="21" customFormat="false" ht="31.5" hidden="false" customHeight="true" outlineLevel="0" collapsed="false">
      <c r="A21" s="29" t="s">
        <v>181</v>
      </c>
      <c r="B21" s="29" t="s">
        <v>314</v>
      </c>
      <c r="C21" s="29" t="s">
        <v>315</v>
      </c>
      <c r="D21" s="29" t="s">
        <v>261</v>
      </c>
      <c r="E21" s="29" t="s">
        <v>96</v>
      </c>
      <c r="F21" s="29"/>
    </row>
    <row r="22" customFormat="false" ht="15" hidden="false" customHeight="false" outlineLevel="0" collapsed="false">
      <c r="A22" s="30" t="n">
        <v>0.0798</v>
      </c>
      <c r="B22" s="25" t="n">
        <v>200</v>
      </c>
      <c r="C22" s="32" t="n">
        <f aca="false">SUM($B$22:B22)</f>
        <v>200</v>
      </c>
      <c r="D22" s="32" t="n">
        <f aca="false">MIN(B22,MAX(0,$B$20-(C22-B22)))</f>
        <v>200</v>
      </c>
      <c r="E22" s="40" t="n">
        <f aca="false">IF(B22=0,0,D22/B22)</f>
        <v>1</v>
      </c>
    </row>
    <row r="23" customFormat="false" ht="15" hidden="false" customHeight="false" outlineLevel="0" collapsed="false">
      <c r="A23" s="30" t="n">
        <v>0.08</v>
      </c>
      <c r="B23" s="25" t="n">
        <v>250</v>
      </c>
      <c r="C23" s="32" t="n">
        <f aca="false">SUM($B$22:B23)</f>
        <v>450</v>
      </c>
      <c r="D23" s="32" t="n">
        <f aca="false">MIN(B23,MAX(0,$B$20-(C23-B23)))</f>
        <v>250</v>
      </c>
      <c r="E23" s="40" t="n">
        <f aca="false">IF(B23=0,0,D23/B23)</f>
        <v>1</v>
      </c>
    </row>
    <row r="24" customFormat="false" ht="15" hidden="false" customHeight="false" outlineLevel="0" collapsed="false">
      <c r="A24" s="30" t="n">
        <v>0.0802</v>
      </c>
      <c r="B24" s="25" t="n">
        <v>300</v>
      </c>
      <c r="C24" s="32" t="n">
        <f aca="false">SUM($B$22:B24)</f>
        <v>750</v>
      </c>
      <c r="D24" s="32" t="n">
        <f aca="false">MIN(B24,MAX(0,$B$20-(C24-B24)))</f>
        <v>300</v>
      </c>
      <c r="E24" s="40" t="n">
        <f aca="false">IF(B24=0,0,D24/B24)</f>
        <v>1</v>
      </c>
    </row>
    <row r="25" customFormat="false" ht="15" hidden="false" customHeight="false" outlineLevel="0" collapsed="false">
      <c r="A25" s="30" t="n">
        <v>0.0804</v>
      </c>
      <c r="B25" s="25" t="n">
        <v>400</v>
      </c>
      <c r="C25" s="32" t="n">
        <f aca="false">SUM($B$22:B25)</f>
        <v>1150</v>
      </c>
      <c r="D25" s="32" t="n">
        <f aca="false">MIN(B25,MAX(0,$B$20-(C25-B25)))</f>
        <v>250</v>
      </c>
      <c r="E25" s="40" t="n">
        <f aca="false">IF(B25=0,0,D25/B25)</f>
        <v>0.625</v>
      </c>
    </row>
    <row r="26" customFormat="false" ht="15" hidden="false" customHeight="false" outlineLevel="0" collapsed="false">
      <c r="A26" s="30" t="n">
        <v>0.0808</v>
      </c>
      <c r="B26" s="25" t="n">
        <v>300</v>
      </c>
      <c r="C26" s="32" t="n">
        <f aca="false">SUM($B$22:B26)</f>
        <v>1450</v>
      </c>
      <c r="D26" s="32" t="n">
        <f aca="false">MIN(B26,MAX(0,$B$20-(C26-B26)))</f>
        <v>0</v>
      </c>
      <c r="E26" s="40" t="n">
        <f aca="false">IF(B26=0,0,D26/B26)</f>
        <v>0</v>
      </c>
    </row>
    <row r="27" customFormat="false" ht="26.85" hidden="false" customHeight="false" outlineLevel="0" collapsed="false">
      <c r="A27" s="36" t="s">
        <v>368</v>
      </c>
      <c r="B27" s="38" t="n">
        <f aca="false">SUMPRODUCT((C22:C26&gt;=$B$20)*((C22:C26-B22:B26)&lt;$B$20)*A22:A26)</f>
        <v>0.0804</v>
      </c>
    </row>
    <row r="28" customFormat="false" ht="15" hidden="false" customHeight="false" outlineLevel="0" collapsed="false">
      <c r="A28" s="10" t="s">
        <v>369</v>
      </c>
      <c r="B28" s="53" t="n">
        <f aca="false">(B27-B17)*10000</f>
        <v>0.404974999998614</v>
      </c>
    </row>
    <row r="30" customFormat="false" ht="15" hidden="false" customHeight="false" outlineLevel="0" collapsed="false">
      <c r="A30" s="20" t="s">
        <v>370</v>
      </c>
      <c r="B30" s="21"/>
      <c r="C30" s="21"/>
      <c r="D30" s="21"/>
      <c r="E30" s="21"/>
      <c r="F30" s="21"/>
    </row>
    <row r="31" customFormat="false" ht="15" hidden="false" customHeight="false" outlineLevel="0" collapsed="false">
      <c r="A31" s="10" t="s">
        <v>371</v>
      </c>
      <c r="B31" s="71" t="n">
        <v>0.001</v>
      </c>
    </row>
    <row r="32" customFormat="false" ht="15" hidden="false" customHeight="false" outlineLevel="0" collapsed="false">
      <c r="A32" s="10" t="s">
        <v>372</v>
      </c>
      <c r="B32" s="71" t="n">
        <v>0.0003</v>
      </c>
    </row>
    <row r="33" customFormat="false" ht="15" hidden="false" customHeight="false" outlineLevel="0" collapsed="false">
      <c r="A33" s="10" t="s">
        <v>373</v>
      </c>
      <c r="B33" s="71" t="n">
        <v>0.0002</v>
      </c>
    </row>
    <row r="34" customFormat="false" ht="15" hidden="false" customHeight="false" outlineLevel="0" collapsed="false">
      <c r="A34" s="10" t="s">
        <v>374</v>
      </c>
      <c r="B34" s="71" t="n">
        <v>5E-005</v>
      </c>
    </row>
    <row r="35" customFormat="false" ht="15" hidden="false" customHeight="false" outlineLevel="0" collapsed="false">
      <c r="A35" s="10" t="s">
        <v>375</v>
      </c>
      <c r="B35" s="72" t="n">
        <f aca="false">SUM(B31:B34)</f>
        <v>0.00155</v>
      </c>
    </row>
    <row r="36" customFormat="false" ht="26.85" hidden="false" customHeight="false" outlineLevel="0" collapsed="false">
      <c r="A36" s="10" t="s">
        <v>376</v>
      </c>
      <c r="B36" s="71" t="n">
        <v>0.0001</v>
      </c>
    </row>
    <row r="37" customFormat="false" ht="15" hidden="false" customHeight="false" outlineLevel="0" collapsed="false">
      <c r="A37" s="10" t="s">
        <v>287</v>
      </c>
      <c r="B37" s="32" t="n">
        <f aca="false">B20*(1-B35)</f>
        <v>998.45</v>
      </c>
    </row>
    <row r="38" customFormat="false" ht="15" hidden="false" customHeight="false" outlineLevel="0" collapsed="false">
      <c r="A38" s="10" t="s">
        <v>377</v>
      </c>
      <c r="B38" s="27" t="n">
        <f aca="false">RATE(B8,-B27*100,100*(1-B35),-100)</f>
        <v>0.0806984237266761</v>
      </c>
    </row>
    <row r="39" customFormat="false" ht="15" hidden="false" customHeight="false" outlineLevel="0" collapsed="false">
      <c r="A39" s="36" t="s">
        <v>378</v>
      </c>
      <c r="B39" s="44" t="n">
        <f aca="false">RATE(B8,-(B27+B36)*100,100*(1-B35),-100)</f>
        <v>0.0807985257647449</v>
      </c>
    </row>
    <row r="41" customFormat="false" ht="15" hidden="false" customHeight="false" outlineLevel="0" collapsed="false">
      <c r="A41" s="20" t="s">
        <v>379</v>
      </c>
      <c r="B41" s="21"/>
      <c r="C41" s="21"/>
      <c r="D41" s="21"/>
      <c r="E41" s="21"/>
      <c r="F41" s="21"/>
    </row>
    <row r="42" customFormat="false" ht="31.5" hidden="false" customHeight="true" outlineLevel="0" collapsed="false">
      <c r="A42" s="29" t="s">
        <v>380</v>
      </c>
      <c r="B42" s="29" t="s">
        <v>381</v>
      </c>
      <c r="C42" s="29" t="s">
        <v>382</v>
      </c>
      <c r="D42" s="29"/>
      <c r="E42" s="29"/>
      <c r="F42" s="29"/>
    </row>
    <row r="43" customFormat="false" ht="15" hidden="false" customHeight="false" outlineLevel="0" collapsed="false">
      <c r="A43" s="10" t="s">
        <v>383</v>
      </c>
      <c r="B43" s="27" t="n">
        <f aca="false">B9</f>
        <v>0.0651</v>
      </c>
      <c r="C43" s="27" t="n">
        <f aca="false">B9</f>
        <v>0.0651</v>
      </c>
    </row>
    <row r="44" customFormat="false" ht="15" hidden="false" customHeight="false" outlineLevel="0" collapsed="false">
      <c r="A44" s="10" t="s">
        <v>384</v>
      </c>
      <c r="B44" s="27" t="n">
        <f aca="false">B10-B9</f>
        <v>0.00105950250000013</v>
      </c>
      <c r="C44" s="27" t="n">
        <f aca="false">C43+B44</f>
        <v>0.0661595025000001</v>
      </c>
    </row>
    <row r="45" customFormat="false" ht="15" hidden="false" customHeight="false" outlineLevel="0" collapsed="false">
      <c r="A45" s="10" t="s">
        <v>385</v>
      </c>
      <c r="B45" s="27" t="n">
        <f aca="false">B13</f>
        <v>0.0135</v>
      </c>
      <c r="C45" s="27" t="n">
        <f aca="false">C44+B45</f>
        <v>0.0796595025000001</v>
      </c>
    </row>
    <row r="46" customFormat="false" ht="15" hidden="false" customHeight="false" outlineLevel="0" collapsed="false">
      <c r="A46" s="10" t="s">
        <v>386</v>
      </c>
      <c r="B46" s="27" t="n">
        <f aca="false">SUM(B14:B16)</f>
        <v>0.0007</v>
      </c>
      <c r="C46" s="27" t="n">
        <f aca="false">C45+B46</f>
        <v>0.0803595025000001</v>
      </c>
    </row>
    <row r="47" customFormat="false" ht="15" hidden="false" customHeight="false" outlineLevel="0" collapsed="false">
      <c r="A47" s="10" t="s">
        <v>387</v>
      </c>
      <c r="B47" s="27" t="n">
        <f aca="false">B27-B17</f>
        <v>4.04974999998614E-005</v>
      </c>
      <c r="C47" s="27" t="n">
        <f aca="false">C46+B47</f>
        <v>0.0804</v>
      </c>
    </row>
    <row r="48" customFormat="false" ht="15" hidden="false" customHeight="false" outlineLevel="0" collapsed="false">
      <c r="A48" s="10" t="s">
        <v>388</v>
      </c>
      <c r="B48" s="27" t="n">
        <f aca="false">B39-B27</f>
        <v>0.000398525764744848</v>
      </c>
      <c r="C48" s="44" t="n">
        <f aca="false">C47+B48</f>
        <v>0.0807985257647449</v>
      </c>
    </row>
  </sheetData>
  <printOptions headings="false" gridLines="false" gridLinesSet="true" horizontalCentered="false" verticalCentered="false"/>
  <pageMargins left="0.75" right="0.75" top="1" bottom="1" header="0.5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>&amp;L&amp;"Arial,Bold"&amp;K123157The Mountain Path Academy&amp;R&amp;"Arial,Regular"&amp;A</oddHeader>
    <oddFooter>&amp;L&amp;"Arial,Regular"https://themountainpathacademy.com&amp;R&amp;"Arial,Regular"Page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2026-10-19T13:36:28Z</dcterms:created>
  <dc:creator>openpyxl</dc:creator>
  <dc:description/>
  <dc:language>en-US</dc:language>
  <cp:lastModifiedBy/>
  <dcterms:modified xsi:type="dcterms:W3CDTF">2026-10-19T13:36:28Z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