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Users/trichyravis/Library/Mobile Documents/com~apple~CloudDocs/01. Ravis Academics/07. My Lectures Subject Wise/1001 My Academia/18. Fixed Income Securities &amp; Analysis/01. Type of Bonds/03. All about Yield and Bond Prices/"/>
    </mc:Choice>
  </mc:AlternateContent>
  <xr:revisionPtr revIDLastSave="0" documentId="8_{2302F12D-CADA-4341-9E87-DF19E54E6411}" xr6:coauthVersionLast="47" xr6:coauthVersionMax="47" xr10:uidLastSave="{00000000-0000-0000-0000-000000000000}"/>
  <bookViews>
    <workbookView xWindow="0" yWindow="600" windowWidth="38400" windowHeight="19840" tabRatio="500" xr2:uid="{00000000-000D-0000-FFFF-FFFF00000000}"/>
  </bookViews>
  <sheets>
    <sheet name="Overview &amp; Guide" sheetId="1" r:id="rId1"/>
    <sheet name="Pricing &amp; Yield Calculators" sheetId="2" r:id="rId2"/>
    <sheet name="Price-Yield &amp; Convexity" sheetId="3" r:id="rId3"/>
    <sheet name="Yield Curves &amp; Markets" sheetId="4" r:id="rId4"/>
  </sheets>
  <calcPr calcId="191029" iterate="1" iterateCount="1000" iterateDelta="0.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" i="3" l="1"/>
  <c r="C25" i="3"/>
  <c r="G16" i="3"/>
  <c r="H34" i="3"/>
  <c r="H33" i="3"/>
  <c r="H32" i="3"/>
  <c r="H31" i="3"/>
  <c r="H30" i="3"/>
  <c r="H29" i="3"/>
  <c r="H28" i="3"/>
  <c r="H27" i="3"/>
  <c r="H26" i="3"/>
  <c r="H25" i="3"/>
  <c r="H24" i="3"/>
  <c r="H23" i="3"/>
  <c r="H22" i="3"/>
  <c r="H21" i="3"/>
  <c r="H20" i="3"/>
  <c r="H19" i="3"/>
  <c r="H18" i="3"/>
  <c r="H17" i="3"/>
  <c r="H16" i="3"/>
  <c r="B56" i="3"/>
  <c r="B55" i="3"/>
  <c r="B54" i="3"/>
  <c r="B53" i="3"/>
  <c r="B52" i="3"/>
  <c r="B51" i="3"/>
  <c r="D34" i="3"/>
  <c r="C34" i="3"/>
  <c r="E34" i="3" s="1"/>
  <c r="F34" i="3" s="1"/>
  <c r="D33" i="3"/>
  <c r="C33" i="3"/>
  <c r="E33" i="3" s="1"/>
  <c r="F33" i="3" s="1"/>
  <c r="D32" i="3"/>
  <c r="C32" i="3"/>
  <c r="E32" i="3" s="1"/>
  <c r="F32" i="3" s="1"/>
  <c r="D31" i="3"/>
  <c r="C31" i="3"/>
  <c r="E31" i="3" s="1"/>
  <c r="F31" i="3" s="1"/>
  <c r="D30" i="3"/>
  <c r="C30" i="3"/>
  <c r="E30" i="3" s="1"/>
  <c r="F30" i="3" s="1"/>
  <c r="D29" i="3"/>
  <c r="C29" i="3"/>
  <c r="E29" i="3" s="1"/>
  <c r="F29" i="3" s="1"/>
  <c r="D28" i="3"/>
  <c r="C28" i="3"/>
  <c r="E28" i="3" s="1"/>
  <c r="F28" i="3" s="1"/>
  <c r="D27" i="3"/>
  <c r="C27" i="3"/>
  <c r="E27" i="3" s="1"/>
  <c r="F27" i="3" s="1"/>
  <c r="D26" i="3"/>
  <c r="C26" i="3"/>
  <c r="E26" i="3" s="1"/>
  <c r="F26" i="3" s="1"/>
  <c r="D25" i="3"/>
  <c r="E25" i="3"/>
  <c r="F25" i="3" s="1"/>
  <c r="D24" i="3"/>
  <c r="C24" i="3"/>
  <c r="E24" i="3" s="1"/>
  <c r="F24" i="3" s="1"/>
  <c r="D23" i="3"/>
  <c r="C23" i="3"/>
  <c r="E23" i="3" s="1"/>
  <c r="F23" i="3" s="1"/>
  <c r="D22" i="3"/>
  <c r="C22" i="3"/>
  <c r="E22" i="3" s="1"/>
  <c r="F22" i="3" s="1"/>
  <c r="D21" i="3"/>
  <c r="C21" i="3"/>
  <c r="E21" i="3" s="1"/>
  <c r="F21" i="3" s="1"/>
  <c r="D20" i="3"/>
  <c r="C20" i="3"/>
  <c r="E20" i="3" s="1"/>
  <c r="F20" i="3" s="1"/>
  <c r="D19" i="3"/>
  <c r="C19" i="3"/>
  <c r="E19" i="3" s="1"/>
  <c r="F19" i="3" s="1"/>
  <c r="D18" i="3"/>
  <c r="C18" i="3"/>
  <c r="E18" i="3" s="1"/>
  <c r="F18" i="3" s="1"/>
  <c r="D17" i="3"/>
  <c r="C17" i="3"/>
  <c r="E17" i="3" s="1"/>
  <c r="F17" i="3" s="1"/>
  <c r="E16" i="3"/>
  <c r="F16" i="3" s="1"/>
  <c r="D16" i="3"/>
  <c r="B49" i="3"/>
  <c r="B48" i="3"/>
  <c r="B47" i="3"/>
  <c r="B46" i="3"/>
  <c r="B45" i="3"/>
  <c r="B12" i="3"/>
  <c r="G10" i="3"/>
  <c r="H41" i="3"/>
  <c r="G41" i="3"/>
  <c r="I41" i="3" s="1"/>
  <c r="D41" i="3"/>
  <c r="H40" i="3"/>
  <c r="G40" i="3"/>
  <c r="I40" i="3" s="1"/>
  <c r="D40" i="3"/>
  <c r="H39" i="3"/>
  <c r="G39" i="3"/>
  <c r="I39" i="3" s="1"/>
  <c r="D39" i="3"/>
  <c r="H38" i="3"/>
  <c r="G38" i="3"/>
  <c r="I38" i="3" s="1"/>
  <c r="D38" i="3"/>
  <c r="G34" i="3"/>
  <c r="B34" i="3"/>
  <c r="G33" i="3"/>
  <c r="B33" i="3"/>
  <c r="G32" i="3"/>
  <c r="B32" i="3"/>
  <c r="G31" i="3"/>
  <c r="B31" i="3"/>
  <c r="G30" i="3"/>
  <c r="B30" i="3"/>
  <c r="G29" i="3"/>
  <c r="B29" i="3"/>
  <c r="G28" i="3"/>
  <c r="B28" i="3"/>
  <c r="G27" i="3"/>
  <c r="B27" i="3"/>
  <c r="G26" i="3"/>
  <c r="B26" i="3"/>
  <c r="G25" i="3"/>
  <c r="B25" i="3"/>
  <c r="G24" i="3"/>
  <c r="B24" i="3"/>
  <c r="G23" i="3"/>
  <c r="B23" i="3"/>
  <c r="G22" i="3"/>
  <c r="B22" i="3"/>
  <c r="G21" i="3"/>
  <c r="B21" i="3"/>
  <c r="G20" i="3"/>
  <c r="B20" i="3"/>
  <c r="G19" i="3"/>
  <c r="B19" i="3"/>
  <c r="G18" i="3"/>
  <c r="B18" i="3"/>
  <c r="G17" i="3"/>
  <c r="B17" i="3"/>
  <c r="B16" i="3"/>
  <c r="G12" i="3"/>
  <c r="G11" i="3"/>
  <c r="B11" i="3"/>
  <c r="G9" i="3"/>
  <c r="G35" i="2"/>
  <c r="F35" i="2"/>
  <c r="E35" i="2"/>
  <c r="D35" i="2"/>
  <c r="C35" i="2"/>
  <c r="I34" i="2"/>
  <c r="H34" i="2"/>
  <c r="H33" i="2"/>
  <c r="I33" i="2" s="1"/>
  <c r="H32" i="2"/>
  <c r="I32" i="2" s="1"/>
  <c r="H31" i="2"/>
  <c r="I31" i="2" s="1"/>
  <c r="I30" i="2"/>
  <c r="I35" i="2" s="1"/>
  <c r="H30" i="2"/>
  <c r="H35" i="2" s="1"/>
  <c r="H27" i="2"/>
  <c r="C27" i="2"/>
  <c r="H26" i="2"/>
  <c r="C26" i="2"/>
  <c r="H25" i="2"/>
  <c r="G25" i="2"/>
  <c r="C25" i="2"/>
  <c r="B25" i="2"/>
  <c r="B26" i="2" s="1"/>
  <c r="H24" i="2"/>
  <c r="G24" i="2"/>
  <c r="G26" i="2" s="1"/>
  <c r="G27" i="2" s="1"/>
  <c r="H17" i="2"/>
  <c r="C17" i="2"/>
  <c r="H16" i="2"/>
  <c r="H15" i="2"/>
  <c r="G15" i="2"/>
  <c r="G17" i="2" s="1"/>
  <c r="C15" i="2"/>
  <c r="H14" i="2"/>
  <c r="G14" i="2"/>
  <c r="G16" i="2" s="1"/>
  <c r="C14" i="2"/>
  <c r="C13" i="2"/>
  <c r="B13" i="2"/>
  <c r="B14" i="2" s="1"/>
  <c r="C12" i="2"/>
  <c r="B12" i="2"/>
  <c r="B17" i="2" l="1"/>
  <c r="B16" i="2"/>
  <c r="B15" i="2"/>
  <c r="B27" i="2"/>
</calcChain>
</file>

<file path=xl/sharedStrings.xml><?xml version="1.0" encoding="utf-8"?>
<sst xmlns="http://schemas.openxmlformats.org/spreadsheetml/2006/main" count="557" uniqueCount="519">
  <si>
    <t>Fixed Income Securities: Master Guide to Bond Prices &amp; Yields</t>
  </si>
  <si>
    <t>Essential concepts, core taxonomy, mechanics of fixed income instruments, and yield relationships.</t>
  </si>
  <si>
    <t>1. CORE BOND ANATOMY &amp; KEY CONCEPTS</t>
  </si>
  <si>
    <t>Term / Concept</t>
  </si>
  <si>
    <t>Definition</t>
  </si>
  <si>
    <t>Formula / Standard Notation</t>
  </si>
  <si>
    <t>Example Value</t>
  </si>
  <si>
    <t>Impact on Price</t>
  </si>
  <si>
    <t>Key Characteristic</t>
  </si>
  <si>
    <t>Role in Analysis</t>
  </si>
  <si>
    <t>Par / Face Value</t>
  </si>
  <si>
    <t>Nominal principal amount returned at maturity</t>
  </si>
  <si>
    <t>M (or F)</t>
  </si>
  <si>
    <t>$1,000</t>
  </si>
  <si>
    <t>Baseline anchor for pricing and discount/premium status</t>
  </si>
  <si>
    <t>Fixed contract nominal amount</t>
  </si>
  <si>
    <t>Basis for coupon calculation</t>
  </si>
  <si>
    <t>Coupon Rate</t>
  </si>
  <si>
    <t>Annual contractual interest rate paid by the issuer</t>
  </si>
  <si>
    <t>C = Annual Cash Flow / Par</t>
  </si>
  <si>
    <t>5.00%</t>
  </si>
  <si>
    <t>Higher coupon increases interim cash flows and bond price</t>
  </si>
  <si>
    <t>Annual percentage of par value</t>
  </si>
  <si>
    <t>Determines periodic income</t>
  </si>
  <si>
    <t>Payment Frequency</t>
  </si>
  <si>
    <t>Number of coupon payments distributed per year</t>
  </si>
  <si>
    <t>m (1=Annual, 2=Semiannual, 4=Quarterly)</t>
  </si>
  <si>
    <t>Semiannual (2)</t>
  </si>
  <si>
    <t>Increases reinvestment frequency; standard US convention</t>
  </si>
  <si>
    <t>Determines payment timing</t>
  </si>
  <si>
    <t>Dictates compounding periods</t>
  </si>
  <si>
    <t>Maturity / Tenor</t>
  </si>
  <si>
    <t>Time remaining until principal repayment</t>
  </si>
  <si>
    <t>T or n (n = T × m)</t>
  </si>
  <si>
    <t>10 Years</t>
  </si>
  <si>
    <t>Longer maturity generally amplifies duration and price volatility</t>
  </si>
  <si>
    <t>Defines investment horizon</t>
  </si>
  <si>
    <t>Term structure placement</t>
  </si>
  <si>
    <t>Clean Price</t>
  </si>
  <si>
    <t>Market quote excluding accrued interest</t>
  </si>
  <si>
    <t>P_clean</t>
  </si>
  <si>
    <t>$980.00</t>
  </si>
  <si>
    <t>Quoted standard in financial media and dealer screens</t>
  </si>
  <si>
    <t>Smooth price over time</t>
  </si>
  <si>
    <t>Comparability across dates</t>
  </si>
  <si>
    <t>Dirty (Invoice) Price</t>
  </si>
  <si>
    <t>Total transaction cash paid including accrued interest</t>
  </si>
  <si>
    <t>P_dirty = P_clean + AI</t>
  </si>
  <si>
    <t>$992.50</t>
  </si>
  <si>
    <t>Actual cash exchanged between buyer and seller</t>
  </si>
  <si>
    <t>Ratchets upward between coupons</t>
  </si>
  <si>
    <t>True purchase outlay</t>
  </si>
  <si>
    <t>Discount / Premium</t>
  </si>
  <si>
    <t>Relation of market price relative to par value</t>
  </si>
  <si>
    <t>Price &lt; Par (Disc) vs Price &gt; Par (Prem)</t>
  </si>
  <si>
    <t>Discount ($980 &lt; $1,000)</t>
  </si>
  <si>
    <t>Directly governs capital gain or loss realization at maturity</t>
  </si>
  <si>
    <t>Reflects market rate gap</t>
  </si>
  <si>
    <t>Total return driver</t>
  </si>
  <si>
    <t>2. BOND PRICE VS. YIELD: THE FUNDAMENTAL INVERSE RELATIONSHIP</t>
  </si>
  <si>
    <t>Market Scenario</t>
  </si>
  <si>
    <t>Coupon Rate vs YTM</t>
  </si>
  <si>
    <t>Bond Price vs Par</t>
  </si>
  <si>
    <t>Pricing Status</t>
  </si>
  <si>
    <t>Capital Gain/Loss at Maturity</t>
  </si>
  <si>
    <t>Yield Comparison</t>
  </si>
  <si>
    <t>Mechanics &amp; Driver</t>
  </si>
  <si>
    <t>Interest Rates Rise</t>
  </si>
  <si>
    <t>Coupon Rate &lt; YTM</t>
  </si>
  <si>
    <t>Price &lt; Par Value</t>
  </si>
  <si>
    <t>Discount Bond</t>
  </si>
  <si>
    <t>Capital Gain (+)</t>
  </si>
  <si>
    <t>Coupon Rate &lt; Current Yield &lt; YTM</t>
  </si>
  <si>
    <t>Older fixed coupon is less attractive; market discounts price until yield matches market.</t>
  </si>
  <si>
    <t>Interest Rates Fall</t>
  </si>
  <si>
    <t>Coupon Rate &gt; YTM</t>
  </si>
  <si>
    <t>Price &gt; Par Value</t>
  </si>
  <si>
    <t>Premium Bond</t>
  </si>
  <si>
    <t>Capital Loss (-)</t>
  </si>
  <si>
    <t>YTM &lt; Current Yield &lt; Coupon Rate</t>
  </si>
  <si>
    <t>Older fixed coupon exceeds prevailing rate; buyers pay premium to secure higher flow.</t>
  </si>
  <si>
    <t>Interest Rates Unchanged</t>
  </si>
  <si>
    <t>Coupon Rate = YTM</t>
  </si>
  <si>
    <t>Price = Par Value</t>
  </si>
  <si>
    <t>Par Bond</t>
  </si>
  <si>
    <t>Zero Gain / Loss ($0)</t>
  </si>
  <si>
    <t>Coupon Rate = Current Yield = YTM</t>
  </si>
  <si>
    <t>Coupon rate precisely matches required market rate of return; trades at face value.</t>
  </si>
  <si>
    <t>3. COMPREHENSIVE GUIDE TO TYPES OF YIELDS</t>
  </si>
  <si>
    <t>Yield Type</t>
  </si>
  <si>
    <t>Definition &amp; Focus</t>
  </si>
  <si>
    <t>Formula / Method</t>
  </si>
  <si>
    <t>Strengths</t>
  </si>
  <si>
    <t>Limitations</t>
  </si>
  <si>
    <t>When to Use</t>
  </si>
  <si>
    <t>Benchmark Example</t>
  </si>
  <si>
    <t>Nominal Yield</t>
  </si>
  <si>
    <t>Contractual stated coupon rate on par value</t>
  </si>
  <si>
    <t>Annual Coupon / Par Value</t>
  </si>
  <si>
    <t>Simple, stated upfront, invariable</t>
  </si>
  <si>
    <t>Ignores market price and time value</t>
  </si>
  <si>
    <t>Baseline contract identification</t>
  </si>
  <si>
    <t>5.00% on $1,000 Par</t>
  </si>
  <si>
    <t>Current Yield</t>
  </si>
  <si>
    <t>Annual cash income relative to current market price</t>
  </si>
  <si>
    <t>Annual Coupon / Current Clean Price</t>
  </si>
  <si>
    <t>Reflects immediate annual cash generation</t>
  </si>
  <si>
    <t>Ignores maturity date and capital gain/loss</t>
  </si>
  <si>
    <t>Income-oriented cash flow screening</t>
  </si>
  <si>
    <t>5.10% ($50 / $980)</t>
  </si>
  <si>
    <t>Yield to Maturity (YTM)</t>
  </si>
  <si>
    <t>Total expected IRR assuming held to maturity</t>
  </si>
  <si>
    <t>P = Σ [C_t / (1+y)^t] + M / (1+y)^n</t>
  </si>
  <si>
    <t>Standardized market comparison metric</t>
  </si>
  <si>
    <t>Assumes coupons reinvested at same YTM</t>
  </si>
  <si>
    <t>Primary benchmark for comparing bonds</t>
  </si>
  <si>
    <t>5.26% on 10Y at $980</t>
  </si>
  <si>
    <t>Yield to Call (YTC)</t>
  </si>
  <si>
    <t>IRR calculated to earliest call date at call price</t>
  </si>
  <si>
    <t>P = Σ [C_t / (1+y)^t] + P_call / (1+y)^n_call</t>
  </si>
  <si>
    <t>Evaluates prepayment / call risk for premium bonds</t>
  </si>
  <si>
    <t>Irrelevant if bond is never called</t>
  </si>
  <si>
    <t>Callable bonds trading at a premium</t>
  </si>
  <si>
    <t>4.85% to 5Y Call @ $1,020</t>
  </si>
  <si>
    <t>Yield to Worst (YTW)</t>
  </si>
  <si>
    <t>Minimum yield between YTM and all call dates</t>
  </si>
  <si>
    <t>Min(YTM, YTC_1, YTC_2, ...)</t>
  </si>
  <si>
    <t>Conservative floor return projection</t>
  </si>
  <si>
    <t>Pessimistic scenario assumption</t>
  </si>
  <si>
    <t>Risk management &amp; portfolio constraints</t>
  </si>
  <si>
    <t>4.85% (Conservative floor)</t>
  </si>
  <si>
    <t>Real Yield</t>
  </si>
  <si>
    <t>Yield adjusted for expected or actual inflation</t>
  </si>
  <si>
    <t>≈ Nominal Yield - Inflation Rate (Fisher)</t>
  </si>
  <si>
    <t>Measures true purchasing power growth</t>
  </si>
  <si>
    <t>Requires reliable inflation forecast</t>
  </si>
  <si>
    <t>Long-term wealth preservation &amp; TIPS</t>
  </si>
  <si>
    <t>2.10% (5.10% nominal - 3.0% CPI)</t>
  </si>
  <si>
    <t>Tax-Equivalent Yield (TEY)</t>
  </si>
  <si>
    <t>Pre-tax yield required to equal tax-exempt muni yield</t>
  </si>
  <si>
    <t>Tax-Free Yield / (1 - Marginal Tax Rate)</t>
  </si>
  <si>
    <t>Fair comparison between munis and corporates</t>
  </si>
  <si>
    <t>Assumes stable tax brackets and status</t>
  </si>
  <si>
    <t>High-net-worth municipal allocation</t>
  </si>
  <si>
    <t>6.25% (4.0% muni / (1 - 0.36))</t>
  </si>
  <si>
    <t>4. TAXONOMY OF FIXED INCOME SECURITIES</t>
  </si>
  <si>
    <t>Security Type</t>
  </si>
  <si>
    <t>Issuer</t>
  </si>
  <si>
    <t>Cash Flow Structure</t>
  </si>
  <si>
    <t>Credit Risk Profile</t>
  </si>
  <si>
    <t>Tax Treatment</t>
  </si>
  <si>
    <t>Interest Rate Sensitivity</t>
  </si>
  <si>
    <t>Target Investor</t>
  </si>
  <si>
    <t>US Treasury Bonds</t>
  </si>
  <si>
    <t>US Federal Government</t>
  </si>
  <si>
    <t>Semiannual fixed coupons + Par at maturity</t>
  </si>
  <si>
    <t>Virtually risk-free (backed by full faith &amp; credit)</t>
  </si>
  <si>
    <t>Exempt from state &amp; local tax; federal taxable</t>
  </si>
  <si>
    <t>Standard duration-dependent sensitivity</t>
  </si>
  <si>
    <t>Central banks, pension funds, flight-to-quality</t>
  </si>
  <si>
    <t>Investment Grade Corporate</t>
  </si>
  <si>
    <t>Blue-chip corporations (AAA to BBB-)</t>
  </si>
  <si>
    <t>Low-to-moderate default risk; credit spread over UST</t>
  </si>
  <si>
    <t>Fully taxable (Federal, State, Local)</t>
  </si>
  <si>
    <t>Moderate-to-high sensitivity; spread risk</t>
  </si>
  <si>
    <t>Insurance companies, corporate bond funds</t>
  </si>
  <si>
    <t>High-Yield Corporate</t>
  </si>
  <si>
    <t>Sub-investment grade firms (BB+ &amp; lower)</t>
  </si>
  <si>
    <t>High fixed coupons; aggressive debt covenants</t>
  </si>
  <si>
    <t>High default risk &amp; credit spread volatility</t>
  </si>
  <si>
    <t>Fully taxable at all levels</t>
  </si>
  <si>
    <t>Lower rate sensitivity, high equity/credit beta</t>
  </si>
  <si>
    <t>Hedge funds, distressed &amp; total return funds</t>
  </si>
  <si>
    <t>Municipal Bonds (GO &amp; Rev)</t>
  </si>
  <si>
    <t>States, cities, local government entities</t>
  </si>
  <si>
    <t>Fixed/floating coupons; GO backed by taxes, Rev by project</t>
  </si>
  <si>
    <t>Low-to-moderate default risk; insurer wrap common</t>
  </si>
  <si>
    <t>Federally tax-exempt; often in-state exempt</t>
  </si>
  <si>
    <t>Moderate sensitivity; subject to muni supply cycles</t>
  </si>
  <si>
    <t>High net-worth individuals, tax-sheltered accounts</t>
  </si>
  <si>
    <t>Zero-Coupon Bonds (STRIPS)</t>
  </si>
  <si>
    <t>Treasury or Corporate synthetic stripped cash flows</t>
  </si>
  <si>
    <t>No periodic coupons; issued at steep discount to par</t>
  </si>
  <si>
    <t>Credit risk matches underlying issuer</t>
  </si>
  <si>
    <t>Annual 'phantom income' tax liability on accretion</t>
  </si>
  <si>
    <t>Maximum rate sensitivity (Duration = Maturity)</t>
  </si>
  <si>
    <t>LDI pension funds matching exact liability dates</t>
  </si>
  <si>
    <t>Callable Bonds</t>
  </si>
  <si>
    <t>Corporations, Agencies, Municipalities</t>
  </si>
  <si>
    <t>Fixed coupons; issuer option to redeem before maturity</t>
  </si>
  <si>
    <t>Credit risk of issuer + negative convexity risk</t>
  </si>
  <si>
    <t>Taxable depending on issuer type</t>
  </si>
  <si>
    <t>Capped upside when rates drop (extension/call risk)</t>
  </si>
  <si>
    <t>Yield-seeking investors accepting reinvestment risk</t>
  </si>
  <si>
    <t>Puttable Bonds</t>
  </si>
  <si>
    <t>Corporations, Financial Institutions</t>
  </si>
  <si>
    <t>Fixed coupons; holder option to sell back to issuer</t>
  </si>
  <si>
    <t>Credit risk of issuer + investor put cushion</t>
  </si>
  <si>
    <t>Reduced downside duration when rates climb</t>
  </si>
  <si>
    <t>Defensive investors in volatile rate environments</t>
  </si>
  <si>
    <t>Floating Rate Notes (FRNs)</t>
  </si>
  <si>
    <t>Banks, Corporates, Supranationals</t>
  </si>
  <si>
    <t>Variable coupons pegged to SOFR/Euribor + fixed spread</t>
  </si>
  <si>
    <t>Credit risk of issuer; floating benchmark resets</t>
  </si>
  <si>
    <t>Taxable based on issuer jurisdiction</t>
  </si>
  <si>
    <t>Minimal rate duration risk (resets every 30-90 days)</t>
  </si>
  <si>
    <t>Short-term cash management, rate-hike hedging</t>
  </si>
  <si>
    <t>TIPS (Inflation-Protected)</t>
  </si>
  <si>
    <t>US Treasury</t>
  </si>
  <si>
    <t>Semiannual fixed coupon applied to inflation-adjusted par</t>
  </si>
  <si>
    <t>Virtually risk-free sovereign credit</t>
  </si>
  <si>
    <t>Taxable on both coupon and annual principal growth</t>
  </si>
  <si>
    <t>Sensitive to real yields rather than nominal rates</t>
  </si>
  <si>
    <t>Retirement portfolios hedging purchasing power</t>
  </si>
  <si>
    <t>INTERACTIVE BOND PRICING &amp; YIELD CALCULATORS</t>
  </si>
  <si>
    <t>Live valuation engines for bullet bonds, callables (YTC/YTW), zero-coupons, tax-equivalent yields, and portfolio benchmarks.</t>
  </si>
  <si>
    <t>1. FIXED-RATE BOND VALUATION ENGINE</t>
  </si>
  <si>
    <t>2. CALLABLE BOND: YTC &amp; YIELD-TO-WORST (YTW)</t>
  </si>
  <si>
    <t>Model Parameter</t>
  </si>
  <si>
    <t>Value / Formula</t>
  </si>
  <si>
    <t>Syntax &amp; Logic</t>
  </si>
  <si>
    <t>Financial Notes</t>
  </si>
  <si>
    <t>Face / Par Value ($)</t>
  </si>
  <si>
    <t>Base principal amount</t>
  </si>
  <si>
    <t>Contractual principal repaid at maturity</t>
  </si>
  <si>
    <t>Current Market Price ($)</t>
  </si>
  <si>
    <t>Observed dirty/clean market quote</t>
  </si>
  <si>
    <t>Current secondary trading quote</t>
  </si>
  <si>
    <t>Annual Coupon Rate (%)</t>
  </si>
  <si>
    <t>Annual coupon percentage</t>
  </si>
  <si>
    <t>Gross annual coupon rate on face value</t>
  </si>
  <si>
    <t>Contractual principal</t>
  </si>
  <si>
    <t>Base redemption value at final maturity</t>
  </si>
  <si>
    <t>Payment Frequency (per year)</t>
  </si>
  <si>
    <t>2 = Semiannual, 1 = Annual</t>
  </si>
  <si>
    <t>Coupons paid twice every fiscal year</t>
  </si>
  <si>
    <t>Nominal coupon percentage</t>
  </si>
  <si>
    <t>6.00% paid semiannually ($30 every 6 mos)</t>
  </si>
  <si>
    <t>Years to Maturity</t>
  </si>
  <si>
    <t>Maturity horizon (years)</t>
  </si>
  <si>
    <t>Full tenor remaining to redemption</t>
  </si>
  <si>
    <t>Coupon cycles per year</t>
  </si>
  <si>
    <t>Semiannual coupon distribution</t>
  </si>
  <si>
    <t>Required Market Yield (YTM %)</t>
  </si>
  <si>
    <t>Discount rate per annum</t>
  </si>
  <si>
    <t>Current market discount rate / required return</t>
  </si>
  <si>
    <t>Total legal tenor</t>
  </si>
  <si>
    <t>Final contractual maturity date</t>
  </si>
  <si>
    <t>Periodic Coupon Payment ($)</t>
  </si>
  <si>
    <t>Periodic cash inflow to investor</t>
  </si>
  <si>
    <t>Years to First Call Date</t>
  </si>
  <si>
    <t>Call protection expiry</t>
  </si>
  <si>
    <t>Earliest date issuer can retire debt</t>
  </si>
  <si>
    <t>Total Payment Periods (n)</t>
  </si>
  <si>
    <t>Total coupon annuity payments until maturity</t>
  </si>
  <si>
    <t>Call Redemption Price ($)</t>
  </si>
  <si>
    <t>Par + Call premium</t>
  </si>
  <si>
    <t>Issuer redemption call price at year 5</t>
  </si>
  <si>
    <t>Fair Market Clean Price ($)</t>
  </si>
  <si>
    <t>Present value of all future cash flows</t>
  </si>
  <si>
    <t>Yield to Maturity (YTM %)</t>
  </si>
  <si>
    <t>Annualized IRR if held through 10 years</t>
  </si>
  <si>
    <t>Current Yield (%)</t>
  </si>
  <si>
    <t>Annual income return relative to current price</t>
  </si>
  <si>
    <t>Yield to Call (YTC %)</t>
  </si>
  <si>
    <t>Annualized IRR if exercised at first call</t>
  </si>
  <si>
    <t>Pricing Regime</t>
  </si>
  <si>
    <t>Trading above par due to YTM &lt; Coupon</t>
  </si>
  <si>
    <t>Yield to Worst (YTW %)</t>
  </si>
  <si>
    <t>Conservative benchmark return for investor</t>
  </si>
  <si>
    <t>Capital Gain / (Loss) at Maturity</t>
  </si>
  <si>
    <t>Amortized premium loss upon maturity return</t>
  </si>
  <si>
    <t>Governing Return Scenario</t>
  </si>
  <si>
    <t>Issuer likely calls bond due to low refi cost</t>
  </si>
  <si>
    <t>3. ZERO-COUPON BOND VALUATION</t>
  </si>
  <si>
    <t>4. TAX-EQUIVALENT YIELD (TEY) CALCULATOR</t>
  </si>
  <si>
    <t>Input / Metric</t>
  </si>
  <si>
    <t>Analytical Formula</t>
  </si>
  <si>
    <t>Financial Mechanism</t>
  </si>
  <si>
    <t>Face Value ($)</t>
  </si>
  <si>
    <t>Maturity bullet payment</t>
  </si>
  <si>
    <t>Full par received with zero interim coupons</t>
  </si>
  <si>
    <t>Municipal Tax-Exempt Yield (%)</t>
  </si>
  <si>
    <t>Stated municipal yield</t>
  </si>
  <si>
    <t>Nominal tax-free yield on muni issuance</t>
  </si>
  <si>
    <t>Holding horizon to redemption</t>
  </si>
  <si>
    <t>Federal Marginal Tax Rate (%)</t>
  </si>
  <si>
    <t>Top federal bracket</t>
  </si>
  <si>
    <t>Federal income tax bracket of investor</t>
  </si>
  <si>
    <t>Compounding Frequency (m)</t>
  </si>
  <si>
    <t>Semiannual convention</t>
  </si>
  <si>
    <t>Treasury STRIPS market compounding standard</t>
  </si>
  <si>
    <t>State Marginal Tax Rate (%)</t>
  </si>
  <si>
    <t>State tax rate</t>
  </si>
  <si>
    <t>State income tax (if non-in-state exempt)</t>
  </si>
  <si>
    <t>Required Annual Yield (YTM %)</t>
  </si>
  <si>
    <t>Discount rate</t>
  </si>
  <si>
    <t>Required annual spot rate</t>
  </si>
  <si>
    <t>Effective Combined Tax Rate (%)</t>
  </si>
  <si>
    <t>Combined tax drag accounting for deductibility</t>
  </si>
  <si>
    <t>Zero-Coupon Clean Price ($)</t>
  </si>
  <si>
    <t>Deep-discount price reflecting pure time value</t>
  </si>
  <si>
    <t>Federal-Only TEY (%)</t>
  </si>
  <si>
    <t>Required taxable yield if only federal exempt</t>
  </si>
  <si>
    <t>Total Dollar Discount ($)</t>
  </si>
  <si>
    <t>Accretion of discount over bond lifetime</t>
  </si>
  <si>
    <t>Combined Total TEY (%)</t>
  </si>
  <si>
    <t>Pre-tax yield required on corporate bonds</t>
  </si>
  <si>
    <t>Implied Annualized IRR (%)</t>
  </si>
  <si>
    <t>Annualized compound growth rate</t>
  </si>
  <si>
    <t>Tax Advantage Spread (bps)</t>
  </si>
  <si>
    <t>Incremental basis points gained from exemption</t>
  </si>
  <si>
    <t>5. COMPREHENSIVE MULTI-BOND BENCHMARK PORTFOLIO COMPARISON</t>
  </si>
  <si>
    <t>Bond Name / Description</t>
  </si>
  <si>
    <t>Issuer Category</t>
  </si>
  <si>
    <t>Par Value ($)</t>
  </si>
  <si>
    <t>Coupon Rate (%)</t>
  </si>
  <si>
    <t>Freq (m)</t>
  </si>
  <si>
    <t>Tenor (Yrs)</t>
  </si>
  <si>
    <t>Market YTM (%)</t>
  </si>
  <si>
    <t>Fair Clean Price ($)</t>
  </si>
  <si>
    <t>US Treasury 10Y Benchmark</t>
  </si>
  <si>
    <t>Sovereign Risk-Free</t>
  </si>
  <si>
    <t>US Treasury 30Y Long Bond</t>
  </si>
  <si>
    <t>Apple Inc. Senior Notes</t>
  </si>
  <si>
    <t>IG Corporate (AAA)</t>
  </si>
  <si>
    <t>Ford Motor Co. Debentures</t>
  </si>
  <si>
    <t>High Yield (BB+)</t>
  </si>
  <si>
    <t>CA General Obligation Muni</t>
  </si>
  <si>
    <t>Municipal (AA)</t>
  </si>
  <si>
    <t>Portfolio Average / Benchmark Mean</t>
  </si>
  <si>
    <t>5 Issues</t>
  </si>
  <si>
    <t xml:space="preserve">  Bond Price-Yield Relationship, Duration &amp; Convexity Analysis</t>
  </si>
  <si>
    <t xml:space="preserve">  Visualizing the inverse non-linear relationship, Macaulay &amp; Modified Duration, Convexity adjustment, and rate shock sensitivity.</t>
  </si>
  <si>
    <t xml:space="preserve"> 1. BASELINE BOND SPECIFICATIONS</t>
  </si>
  <si>
    <t xml:space="preserve"> 2. RISK METRICS: DURATION, CONVEXITY &amp; DV01</t>
  </si>
  <si>
    <t>Macaulay Duration (Years)</t>
  </si>
  <si>
    <t>Modified Duration (Years)</t>
  </si>
  <si>
    <t>Convexity Measure</t>
  </si>
  <si>
    <t>Dollar Value of 1 bp (DV01)</t>
  </si>
  <si>
    <t>Baseline Market Yield (YTM)</t>
  </si>
  <si>
    <t>Price Change (+100 bps, Duration Only)</t>
  </si>
  <si>
    <t>Baseline Bond Price ($)</t>
  </si>
  <si>
    <t>Price Change (+100 bps, Dur + Convexity)</t>
  </si>
  <si>
    <t>Convexity Protection Benefit</t>
  </si>
  <si>
    <t xml:space="preserve"> 3. PRICE-YIELD SENSITIVITY TABLE (YTM 1.0% TO 10.0%)</t>
  </si>
  <si>
    <t>Market Yield (YTM)</t>
  </si>
  <si>
    <t>Actual Bond Price ($)</t>
  </si>
  <si>
    <t xml:space="preserve"> 4. DURATION &amp; MATURITY COMPARISON ACROSS TENORS (2Y, 5Y, 10Y, 30Y)</t>
  </si>
  <si>
    <t>Tenor</t>
  </si>
  <si>
    <t>Par Value</t>
  </si>
  <si>
    <t>Base Price (@5% YTM)</t>
  </si>
  <si>
    <t>Mod Duration (Yrs)</t>
  </si>
  <si>
    <t>Convexity</t>
  </si>
  <si>
    <t>Price @ 3% (-200 bps)</t>
  </si>
  <si>
    <t>Price @ 7% (+200 bps)</t>
  </si>
  <si>
    <t>Convexity Asymmetry</t>
  </si>
  <si>
    <t>2-Year Note</t>
  </si>
  <si>
    <t>5-Year Note</t>
  </si>
  <si>
    <t>10-Year Bond</t>
  </si>
  <si>
    <t>30-Year Bond</t>
  </si>
  <si>
    <t>Yield Curve Dynamics &amp; Fixed Income Markets Matrix</t>
  </si>
  <si>
    <t>Term structure of interest rates, economic regime signals, spread analysis, and comparative bond market profiles.</t>
  </si>
  <si>
    <t>1. YIELD CURVE STRUCTURES &amp; ECONOMIC REGIME SIGNALS</t>
  </si>
  <si>
    <t>Curve Shape</t>
  </si>
  <si>
    <t>Typical Slope (Spread 10Y-2Y)</t>
  </si>
  <si>
    <t>Economic Regime / Outlook</t>
  </si>
  <si>
    <t>Market Expectations</t>
  </si>
  <si>
    <t>Driver &amp; Monetary Policy</t>
  </si>
  <si>
    <t>Impact on Short vs Long Rates</t>
  </si>
  <si>
    <t>Portfolio Strategy / Action</t>
  </si>
  <si>
    <t>Normal (Upward Sloping)</t>
  </si>
  <si>
    <t>+50 to +200 bps</t>
  </si>
  <si>
    <t>Economic Expansion / Growth</t>
  </si>
  <si>
    <t>Expects rising growth and healthy inflation</t>
  </si>
  <si>
    <t>Term premium + rate expectations</t>
  </si>
  <si>
    <t>Long rates higher than short rates</t>
  </si>
  <si>
    <t>Standard barbell or bullet; ride the yield curve</t>
  </si>
  <si>
    <t>Inverted (Downward Sloping)</t>
  </si>
  <si>
    <t>-10 to -150 bps</t>
  </si>
  <si>
    <t>Recessionary Signal / Slowdown</t>
  </si>
  <si>
    <t>Expects aggressive central bank rate cuts ahead</t>
  </si>
  <si>
    <t>Tight restrictive monetary policy (Fed hikes)</t>
  </si>
  <si>
    <t>Short rates elevated above long rates</t>
  </si>
  <si>
    <t>Lock in peak short yields; extend duration before cuts</t>
  </si>
  <si>
    <t>Flat Yield Curve</t>
  </si>
  <si>
    <t>-10 to +20 bps</t>
  </si>
  <si>
    <t>Economic Transition / Turning Point</t>
  </si>
  <si>
    <t>Uncertainty over growth and policy trajectory</t>
  </si>
  <si>
    <t>Transition between tightening &amp; easing cycles</t>
  </si>
  <si>
    <t>Short &amp; long yields converge across tenors</t>
  </si>
  <si>
    <t>Focus on intermediate duration and credit spread carry</t>
  </si>
  <si>
    <t>Humped / Bell-Shaped</t>
  </si>
  <si>
    <t>Mid-curve spike</t>
  </si>
  <si>
    <t>Near-term uncertainty / Policy peak</t>
  </si>
  <si>
    <t>Expectations of near-term rate surge then rapid easing</t>
  </si>
  <si>
    <t>Sharp short-term liquidity tension</t>
  </si>
  <si>
    <t>Intermediate (2Y-5Y) yields higher than 3M and 30Y</t>
  </si>
  <si>
    <t>Underweight mid-tenor bonds; overweight wings (barbell)</t>
  </si>
  <si>
    <t>2. BENCHMARK US TREASURY YIELD CURVE SCENARIOS (DATA TABLE &amp; MODEL)</t>
  </si>
  <si>
    <t>Maturity (Years)</t>
  </si>
  <si>
    <t>Normal Expansion Curve (%)</t>
  </si>
  <si>
    <t>Inverted Pre-Recession Curve (%)</t>
  </si>
  <si>
    <t>Flat Transition Curve (%)</t>
  </si>
  <si>
    <t>1 Month</t>
  </si>
  <si>
    <t>3 Month</t>
  </si>
  <si>
    <t>6 Month</t>
  </si>
  <si>
    <t>1 Year</t>
  </si>
  <si>
    <t>2 Year</t>
  </si>
  <si>
    <t>5 Year</t>
  </si>
  <si>
    <t>10 Year</t>
  </si>
  <si>
    <t>30 Year</t>
  </si>
  <si>
    <t>3. COMPREHENSIVE FIXED INCOME ASSET CLASS COMPARISON MATRIX</t>
  </si>
  <si>
    <t>Bond Class</t>
  </si>
  <si>
    <t>Representative Index / Ticker</t>
  </si>
  <si>
    <t>Typical Yield / Spread</t>
  </si>
  <si>
    <t>Duration Profile</t>
  </si>
  <si>
    <t>Default Risk</t>
  </si>
  <si>
    <t>Call / Structure Risk</t>
  </si>
  <si>
    <t>Tax Status</t>
  </si>
  <si>
    <t>Liquidity</t>
  </si>
  <si>
    <t>Key Investment Thesis</t>
  </si>
  <si>
    <t>US Treasury Bonds (Govt)</t>
  </si>
  <si>
    <t>US 10Y Benchmark (IEF/TLT)</t>
  </si>
  <si>
    <t>Base Risk-Free (3.5% - 5.0%)</t>
  </si>
  <si>
    <t>High (Matches maturity)</t>
  </si>
  <si>
    <t>Virtually Zero (US Sovereign)</t>
  </si>
  <si>
    <t>None (Bullet maturities)</t>
  </si>
  <si>
    <t>Federal Taxable, State/Local Exempt</t>
  </si>
  <si>
    <t>Extremely High ($900B+ daily)</t>
  </si>
  <si>
    <t>Flight to safety, macro hedge, benchmark duration</t>
  </si>
  <si>
    <t>US Aggregate IG (LQD)</t>
  </si>
  <si>
    <t>UST + 90 to 160 bps Spread</t>
  </si>
  <si>
    <t>Moderate-High (5-8 yrs)</t>
  </si>
  <si>
    <t>Very Low (AAA to BBB-)</t>
  </si>
  <si>
    <t>Often Callable (Make-Whole)</t>
  </si>
  <si>
    <t>Fully Taxable (Fed + State)</t>
  </si>
  <si>
    <t>High</t>
  </si>
  <si>
    <t>Quality yield enhancement, strong balance sheet backing</t>
  </si>
  <si>
    <t>High-Yield / Junk Corporate</t>
  </si>
  <si>
    <t>US High Yield (HYG/JNK)</t>
  </si>
  <si>
    <t>UST + 320 to 600 bps Spread</t>
  </si>
  <si>
    <t>Low-Moderate (3-5 yrs)</t>
  </si>
  <si>
    <t>Moderate-High (BB+ to CCC)</t>
  </si>
  <si>
    <t>Frequently Callable (Fixed Call)</t>
  </si>
  <si>
    <t>Moderate</t>
  </si>
  <si>
    <t>Equity-like return potential with higher coupon cushion</t>
  </si>
  <si>
    <t>Municipal Bonds (Tax-Exempt)</t>
  </si>
  <si>
    <t>National Muni (MUB)</t>
  </si>
  <si>
    <t>65% - 85% of UST Yield</t>
  </si>
  <si>
    <t>Moderate (6-9 yrs)</t>
  </si>
  <si>
    <t>Very Low (Historical &lt;0.1% GO)</t>
  </si>
  <si>
    <t>High Call Risk (10Y Call on 20Y)</t>
  </si>
  <si>
    <t>Federal Exempt, In-State Exempt</t>
  </si>
  <si>
    <t>High after-tax yield for top-bracket taxpayers</t>
  </si>
  <si>
    <t>US TIPS Index (TIP)</t>
  </si>
  <si>
    <t>Real Yield (1.5% - 2.5%) + CPI</t>
  </si>
  <si>
    <t>Intermediate (Adj. Principal)</t>
  </si>
  <si>
    <t>None</t>
  </si>
  <si>
    <t>Taxable (Phantom Income on Accretion)</t>
  </si>
  <si>
    <t>Direct hedge against unexpected inflation surges</t>
  </si>
  <si>
    <t>US Floating Rate (FLTR)</t>
  </si>
  <si>
    <t>SOFR + 25 to 150 bps Spread</t>
  </si>
  <si>
    <t>Near Zero (&lt;0.25 yrs)</t>
  </si>
  <si>
    <t>Low to Moderate</t>
  </si>
  <si>
    <t>Low</t>
  </si>
  <si>
    <t>Fully Taxable</t>
  </si>
  <si>
    <t>Moderate-High</t>
  </si>
  <si>
    <t>Insulation against rising interest rates, rate reset</t>
  </si>
  <si>
    <t>Convertible Bonds</t>
  </si>
  <si>
    <t>US Convertibles (CWB)</t>
  </si>
  <si>
    <t>Lower Coupon (1.5% - 3.5%)</t>
  </si>
  <si>
    <t>Moderate (Delta dependent)</t>
  </si>
  <si>
    <t>Moderate (Subordinated)</t>
  </si>
  <si>
    <t>Soft Call Provisions</t>
  </si>
  <si>
    <t>Asymmetric upside equity participation with downside floor</t>
  </si>
  <si>
    <t>4. SPREAD DYNAMICS &amp; RISK PREMIA DEFINITIONS</t>
  </si>
  <si>
    <t>Spread Metric</t>
  </si>
  <si>
    <t>Calculation Method</t>
  </si>
  <si>
    <t>Primary Risk Isolated</t>
  </si>
  <si>
    <t>Market Interpretation</t>
  </si>
  <si>
    <t>Nominal G-Spread</t>
  </si>
  <si>
    <t>Difference between bond yield and interpolated government benchmark</t>
  </si>
  <si>
    <t>Yield_Bond - Yield_Treasury</t>
  </si>
  <si>
    <t>Broad Credit &amp; Liquidity Risk</t>
  </si>
  <si>
    <t>Basic credit risk premium over same-maturity benchmark</t>
  </si>
  <si>
    <t>I-Spread (Interpolated)</t>
  </si>
  <si>
    <t>Difference between bond yield and benchmark swap rate</t>
  </si>
  <si>
    <t>Yield_Bond - Swap_Rate</t>
  </si>
  <si>
    <t>Credit &amp; Bank Funding Risk</t>
  </si>
  <si>
    <t>Standard global benchmark spread in European &amp; Asian markets</t>
  </si>
  <si>
    <t>Z-Spread (Zero-Volatility)</t>
  </si>
  <si>
    <t>Constant spread added to the entire Treasury spot curve to discount bond CFs to market price</t>
  </si>
  <si>
    <t>Solved iteratively: Price = SUM[ CF_t / (1 + (Spot_t + Z)/m)^t ]</t>
  </si>
  <si>
    <t>Pure Credit &amp; Liquidity Spread (assumes zero volatility)</t>
  </si>
  <si>
    <t>Used for non-option bullet bonds to reflect whole term structure</t>
  </si>
  <si>
    <t>OAS (Option-Adjusted Spread)</t>
  </si>
  <si>
    <t>Spread over spot curve after stripping out embedded options using tree / Monte Carlo</t>
  </si>
  <si>
    <t>Z-Spread - Option Cost</t>
  </si>
  <si>
    <t>Pure Fundamental Credit Risk (isolating optionality)</t>
  </si>
  <si>
    <t>Crucial for callable corporate bonds, MBS, and mortgage debt</t>
  </si>
  <si>
    <t>Yield Shock (Δy)</t>
  </si>
  <si>
    <t>Price at YTM − Δy  (V−)</t>
  </si>
  <si>
    <t>Price at YTM  (V0)</t>
  </si>
  <si>
    <t>Price at YTM + Δy  (V+)</t>
  </si>
  <si>
    <t xml:space="preserve"> 5. EFFECTIVE DURATION &amp; EFFECTIVE CONVEXITY (SHORT-CUT / REPRICING METHOD)</t>
  </si>
  <si>
    <t>Effective Modified Duration = (V− − V+) / (2 × V0 × Δy)</t>
  </si>
  <si>
    <t>Effective Convexity = (V− + V+ − 2×V0) / (V0 × Δy²)</t>
  </si>
  <si>
    <t>% Δ due to Duration</t>
  </si>
  <si>
    <t>% Δ due to Convexity</t>
  </si>
  <si>
    <t>Total Estimated % Δ</t>
  </si>
  <si>
    <t>Estimated Price ($)</t>
  </si>
  <si>
    <t>Rate Shock for Estimate (Δy, e.g. +1.00%)</t>
  </si>
  <si>
    <t>% Change due to Duration = −MDₑff × Δy</t>
  </si>
  <si>
    <t>% Change due to Convexity = ½ × Cₑff × Δy²</t>
  </si>
  <si>
    <t>Total Estimated % Change in Price</t>
  </si>
  <si>
    <t>Estimated New Price ($)</t>
  </si>
  <si>
    <t>Actual New Price ($)</t>
  </si>
  <si>
    <t>Estimation Error ($) = Estimated − Actual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</si>
</sst>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\$#,##0.00"/>
    <numFmt numFmtId="165" formatCode="\$#,##0.0000"/>
    <numFmt numFmtId="166" formatCode="0.000"/>
    <numFmt numFmtId="167" formatCode="\$#,##0.00;\(\$#,##0.00\);\-"/>
    <numFmt numFmtId="168" formatCode="0.00%;\(0.00%\);\-"/>
  </numFmts>
  <fonts count="21" x14ac:knownFonts="1">
    <font>
      <sz val="11"/>
      <color theme="1"/>
      <name val="Calibri"/>
      <scheme val="minor"/>
    </font>
    <font>
      <b/>
      <sz val="20"/>
      <color rgb="FFFFFFFF"/>
      <name val="Calibri (Body)"/>
    </font>
    <font>
      <sz val="20"/>
      <color theme="1"/>
      <name val="Calibri (Body)"/>
    </font>
    <font>
      <i/>
      <sz val="20"/>
      <color rgb="FF1F4E78"/>
      <name val="Calibri (Body)"/>
    </font>
    <font>
      <b/>
      <sz val="20"/>
      <color rgb="FF0D233A"/>
      <name val="Calibri (Body)"/>
    </font>
    <font>
      <sz val="20"/>
      <color rgb="FF262626"/>
      <name val="Calibri (Body)"/>
    </font>
    <font>
      <b/>
      <sz val="20"/>
      <color rgb="FF0000A7"/>
      <name val="Calibri"/>
      <family val="2"/>
      <scheme val="minor"/>
    </font>
    <font>
      <b/>
      <sz val="20"/>
      <color rgb="FFFFFFFF"/>
      <name val="Segoe UI"/>
    </font>
    <font>
      <sz val="20"/>
      <color theme="1"/>
      <name val="Calibri"/>
      <family val="2"/>
      <scheme val="minor"/>
    </font>
    <font>
      <i/>
      <sz val="20"/>
      <color rgb="FF595959"/>
      <name val="Segoe UI"/>
    </font>
    <font>
      <sz val="20"/>
      <color rgb="FF262626"/>
      <name val="Segoe UI"/>
    </font>
    <font>
      <sz val="20"/>
      <color rgb="FF000000"/>
      <name val="Segoe UI"/>
    </font>
    <font>
      <b/>
      <sz val="20"/>
      <color rgb="FF0B3C61"/>
      <name val="Segoe UI"/>
    </font>
    <font>
      <b/>
      <sz val="20"/>
      <color rgb="FF1B365D"/>
      <name val="Segoe UI"/>
    </font>
    <font>
      <i/>
      <sz val="20"/>
      <color rgb="FFD9E2EC"/>
      <name val="Calibri (Body)"/>
    </font>
    <font>
      <b/>
      <sz val="20"/>
      <color rgb="FF333333"/>
      <name val="Calibri (Body)"/>
    </font>
    <font>
      <sz val="20"/>
      <name val="Calibri (Body)"/>
    </font>
    <font>
      <b/>
      <sz val="20"/>
      <name val="Calibri (Body)"/>
    </font>
    <font>
      <i/>
      <sz val="20"/>
      <color rgb="FF1F4E79"/>
      <name val="Calibri (Body)"/>
    </font>
    <font>
      <sz val="20"/>
      <color rgb="FF0000FF"/>
      <name val="Calibri (Body)"/>
    </font>
    <font>
      <b/>
      <sz val="20"/>
      <color theme="1"/>
      <name val="Calibri (Body)"/>
    </font>
  </fonts>
  <fills count="22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1F2"/>
      </patternFill>
    </fill>
    <fill>
      <patternFill patternType="solid">
        <fgColor rgb="FF2F5597"/>
      </patternFill>
    </fill>
    <fill>
      <patternFill patternType="solid">
        <fgColor rgb="FFFFFFFF"/>
      </patternFill>
    </fill>
    <fill>
      <patternFill patternType="solid">
        <fgColor rgb="FFF2F4F7"/>
      </patternFill>
    </fill>
    <fill>
      <patternFill patternType="solid">
        <fgColor rgb="FF1B365D"/>
      </patternFill>
    </fill>
    <fill>
      <patternFill patternType="solid">
        <fgColor rgb="FFF2F4F8"/>
      </patternFill>
    </fill>
    <fill>
      <patternFill patternType="solid">
        <fgColor rgb="FFFFFBE6"/>
      </patternFill>
    </fill>
    <fill>
      <patternFill patternType="solid">
        <fgColor rgb="FFEDF5FD"/>
      </patternFill>
    </fill>
    <fill>
      <patternFill patternType="solid">
        <fgColor rgb="FFEBF1F5"/>
      </patternFill>
    </fill>
    <fill>
      <patternFill patternType="solid">
        <fgColor rgb="FF102A43"/>
      </patternFill>
    </fill>
    <fill>
      <patternFill patternType="solid">
        <fgColor rgb="FF243B53"/>
      </patternFill>
    </fill>
    <fill>
      <patternFill patternType="solid">
        <fgColor rgb="FF2B6CB0"/>
      </patternFill>
    </fill>
    <fill>
      <patternFill patternType="solid">
        <fgColor rgb="FFF7FAFC"/>
      </patternFill>
    </fill>
    <fill>
      <patternFill patternType="solid">
        <fgColor rgb="FFDCE6F1"/>
      </patternFill>
    </fill>
    <fill>
      <patternFill patternType="solid">
        <fgColor rgb="FF1F4E79"/>
      </patternFill>
    </fill>
    <fill>
      <patternFill patternType="solid">
        <fgColor rgb="FFF2F2F2"/>
      </patternFill>
    </fill>
    <fill>
      <patternFill patternType="solid">
        <fgColor rgb="FF1F4E78"/>
        <bgColor indexed="64"/>
      </patternFill>
    </fill>
    <fill>
      <patternFill patternType="solid">
        <fgColor rgb="FF2B6CB0"/>
        <bgColor indexed="64"/>
      </patternFill>
    </fill>
    <fill>
      <patternFill patternType="solid">
        <fgColor rgb="FFF7FAFC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1F4E78"/>
      </top>
      <bottom style="double">
        <color rgb="FF1F4E78"/>
      </bottom>
      <diagonal/>
    </border>
  </borders>
  <cellStyleXfs count="1">
    <xf numFmtId="0" fontId="0" fillId="0" borderId="1">
      <alignment vertical="top"/>
    </xf>
  </cellStyleXfs>
  <cellXfs count="92">
    <xf numFmtId="0" fontId="0" fillId="0" borderId="1" xfId="0">
      <alignment vertical="top"/>
    </xf>
    <xf numFmtId="0" fontId="2" fillId="0" borderId="1" xfId="0" applyFont="1">
      <alignment vertical="top"/>
    </xf>
    <xf numFmtId="0" fontId="4" fillId="3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left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left" vertical="center"/>
    </xf>
    <xf numFmtId="0" fontId="5" fillId="5" borderId="2" xfId="0" applyFont="1" applyFill="1" applyBorder="1" applyAlignment="1">
      <alignment horizontal="left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left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left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8" fillId="0" borderId="1" xfId="0" applyFont="1">
      <alignment vertical="top"/>
    </xf>
    <xf numFmtId="0" fontId="7" fillId="4" borderId="0" xfId="0" applyFont="1" applyFill="1" applyBorder="1" applyAlignment="1">
      <alignment horizontal="center" vertical="center"/>
    </xf>
    <xf numFmtId="0" fontId="10" fillId="0" borderId="2" xfId="0" applyFont="1" applyBorder="1" applyAlignment="1">
      <alignment vertical="center" wrapText="1"/>
    </xf>
    <xf numFmtId="43" fontId="11" fillId="9" borderId="2" xfId="0" applyNumberFormat="1" applyFont="1" applyFill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8" fillId="0" borderId="1" xfId="0" applyFont="1" applyAlignment="1">
      <alignment vertical="top" wrapText="1"/>
    </xf>
    <xf numFmtId="10" fontId="11" fillId="9" borderId="2" xfId="0" applyNumberFormat="1" applyFont="1" applyFill="1" applyBorder="1" applyAlignment="1">
      <alignment vertical="center" wrapText="1"/>
    </xf>
    <xf numFmtId="3" fontId="11" fillId="9" borderId="2" xfId="0" applyNumberFormat="1" applyFont="1" applyFill="1" applyBorder="1" applyAlignment="1">
      <alignment vertical="center" wrapText="1"/>
    </xf>
    <xf numFmtId="4" fontId="11" fillId="9" borderId="2" xfId="0" applyNumberFormat="1" applyFont="1" applyFill="1" applyBorder="1" applyAlignment="1">
      <alignment vertical="center" wrapText="1"/>
    </xf>
    <xf numFmtId="43" fontId="12" fillId="10" borderId="2" xfId="0" applyNumberFormat="1" applyFont="1" applyFill="1" applyBorder="1" applyAlignment="1">
      <alignment vertical="center" wrapText="1"/>
    </xf>
    <xf numFmtId="3" fontId="12" fillId="10" borderId="2" xfId="0" applyNumberFormat="1" applyFont="1" applyFill="1" applyBorder="1" applyAlignment="1">
      <alignment vertical="center" wrapText="1"/>
    </xf>
    <xf numFmtId="10" fontId="12" fillId="10" borderId="2" xfId="0" applyNumberFormat="1" applyFont="1" applyFill="1" applyBorder="1" applyAlignment="1">
      <alignment vertical="center" wrapText="1"/>
    </xf>
    <xf numFmtId="0" fontId="12" fillId="10" borderId="2" xfId="0" applyFont="1" applyFill="1" applyBorder="1" applyAlignment="1">
      <alignment vertical="center" wrapText="1"/>
    </xf>
    <xf numFmtId="0" fontId="13" fillId="11" borderId="3" xfId="0" applyFont="1" applyFill="1" applyBorder="1" applyAlignment="1">
      <alignment vertical="center" wrapText="1"/>
    </xf>
    <xf numFmtId="43" fontId="13" fillId="11" borderId="3" xfId="0" applyNumberFormat="1" applyFont="1" applyFill="1" applyBorder="1" applyAlignment="1">
      <alignment vertical="center" wrapText="1"/>
    </xf>
    <xf numFmtId="10" fontId="13" fillId="11" borderId="3" xfId="0" applyNumberFormat="1" applyFont="1" applyFill="1" applyBorder="1" applyAlignment="1">
      <alignment vertical="center" wrapText="1"/>
    </xf>
    <xf numFmtId="3" fontId="13" fillId="11" borderId="3" xfId="0" applyNumberFormat="1" applyFont="1" applyFill="1" applyBorder="1" applyAlignment="1">
      <alignment vertical="center" wrapText="1"/>
    </xf>
    <xf numFmtId="4" fontId="13" fillId="11" borderId="3" xfId="0" applyNumberFormat="1" applyFont="1" applyFill="1" applyBorder="1" applyAlignment="1">
      <alignment vertical="center" wrapText="1"/>
    </xf>
    <xf numFmtId="164" fontId="16" fillId="0" borderId="0" xfId="0" applyNumberFormat="1" applyFont="1" applyBorder="1">
      <alignment vertical="top"/>
    </xf>
    <xf numFmtId="2" fontId="16" fillId="0" borderId="0" xfId="0" applyNumberFormat="1" applyFont="1" applyBorder="1">
      <alignment vertical="top"/>
    </xf>
    <xf numFmtId="10" fontId="16" fillId="0" borderId="0" xfId="0" applyNumberFormat="1" applyFont="1" applyBorder="1">
      <alignment vertical="top"/>
    </xf>
    <xf numFmtId="0" fontId="1" fillId="14" borderId="0" xfId="0" applyFont="1" applyFill="1" applyBorder="1" applyAlignment="1">
      <alignment horizontal="center" vertical="center"/>
    </xf>
    <xf numFmtId="10" fontId="16" fillId="15" borderId="0" xfId="0" applyNumberFormat="1" applyFont="1" applyFill="1" applyBorder="1">
      <alignment vertical="top"/>
    </xf>
    <xf numFmtId="164" fontId="16" fillId="15" borderId="0" xfId="0" applyNumberFormat="1" applyFont="1" applyFill="1" applyBorder="1">
      <alignment vertical="top"/>
    </xf>
    <xf numFmtId="0" fontId="16" fillId="15" borderId="0" xfId="0" applyFont="1" applyFill="1" applyBorder="1">
      <alignment vertical="top"/>
    </xf>
    <xf numFmtId="10" fontId="17" fillId="16" borderId="0" xfId="0" applyNumberFormat="1" applyFont="1" applyFill="1" applyBorder="1">
      <alignment vertical="top"/>
    </xf>
    <xf numFmtId="164" fontId="17" fillId="16" borderId="0" xfId="0" applyNumberFormat="1" applyFont="1" applyFill="1" applyBorder="1">
      <alignment vertical="top"/>
    </xf>
    <xf numFmtId="2" fontId="16" fillId="15" borderId="0" xfId="0" applyNumberFormat="1" applyFont="1" applyFill="1" applyBorder="1">
      <alignment vertical="top"/>
    </xf>
    <xf numFmtId="0" fontId="15" fillId="0" borderId="0" xfId="0" applyFont="1" applyBorder="1" applyAlignment="1">
      <alignment vertical="top" wrapText="1"/>
    </xf>
    <xf numFmtId="164" fontId="16" fillId="0" borderId="0" xfId="0" applyNumberFormat="1" applyFont="1" applyBorder="1" applyAlignment="1">
      <alignment vertical="top" wrapText="1"/>
    </xf>
    <xf numFmtId="10" fontId="16" fillId="0" borderId="0" xfId="0" applyNumberFormat="1" applyFont="1" applyBorder="1" applyAlignment="1">
      <alignment vertical="top" wrapText="1"/>
    </xf>
    <xf numFmtId="1" fontId="16" fillId="0" borderId="0" xfId="0" applyNumberFormat="1" applyFont="1" applyBorder="1" applyAlignment="1">
      <alignment vertical="top" wrapText="1"/>
    </xf>
    <xf numFmtId="2" fontId="16" fillId="0" borderId="0" xfId="0" applyNumberFormat="1" applyFont="1" applyBorder="1" applyAlignment="1">
      <alignment vertical="top" wrapText="1"/>
    </xf>
    <xf numFmtId="165" fontId="16" fillId="0" borderId="0" xfId="0" applyNumberFormat="1" applyFont="1" applyBorder="1" applyAlignment="1">
      <alignment vertical="top" wrapText="1"/>
    </xf>
    <xf numFmtId="0" fontId="1" fillId="14" borderId="0" xfId="0" applyFont="1" applyFill="1" applyBorder="1" applyAlignment="1">
      <alignment horizontal="center" vertical="center" wrapText="1"/>
    </xf>
    <xf numFmtId="0" fontId="1" fillId="17" borderId="0" xfId="0" applyFont="1" applyFill="1" applyBorder="1" applyAlignment="1">
      <alignment horizontal="center" vertical="center"/>
    </xf>
    <xf numFmtId="0" fontId="16" fillId="5" borderId="2" xfId="0" applyFont="1" applyFill="1" applyBorder="1" applyAlignment="1">
      <alignment horizontal="left" vertical="center"/>
    </xf>
    <xf numFmtId="0" fontId="16" fillId="5" borderId="2" xfId="0" applyFont="1" applyFill="1" applyBorder="1" applyAlignment="1">
      <alignment horizontal="center" vertical="center"/>
    </xf>
    <xf numFmtId="0" fontId="16" fillId="18" borderId="2" xfId="0" applyFont="1" applyFill="1" applyBorder="1" applyAlignment="1">
      <alignment horizontal="left" vertical="center"/>
    </xf>
    <xf numFmtId="0" fontId="16" fillId="18" borderId="2" xfId="0" applyFont="1" applyFill="1" applyBorder="1" applyAlignment="1">
      <alignment horizontal="center" vertical="center"/>
    </xf>
    <xf numFmtId="49" fontId="16" fillId="5" borderId="2" xfId="0" applyNumberFormat="1" applyFont="1" applyFill="1" applyBorder="1" applyAlignment="1">
      <alignment horizontal="left" vertical="center"/>
    </xf>
    <xf numFmtId="166" fontId="16" fillId="5" borderId="2" xfId="0" applyNumberFormat="1" applyFont="1" applyFill="1" applyBorder="1" applyAlignment="1">
      <alignment horizontal="right" vertical="center"/>
    </xf>
    <xf numFmtId="10" fontId="16" fillId="5" borderId="2" xfId="0" applyNumberFormat="1" applyFont="1" applyFill="1" applyBorder="1" applyAlignment="1">
      <alignment horizontal="right" vertical="center"/>
    </xf>
    <xf numFmtId="49" fontId="16" fillId="18" borderId="2" xfId="0" applyNumberFormat="1" applyFont="1" applyFill="1" applyBorder="1" applyAlignment="1">
      <alignment horizontal="left" vertical="center"/>
    </xf>
    <xf numFmtId="166" fontId="16" fillId="18" borderId="2" xfId="0" applyNumberFormat="1" applyFont="1" applyFill="1" applyBorder="1" applyAlignment="1">
      <alignment horizontal="right" vertical="center"/>
    </xf>
    <xf numFmtId="10" fontId="16" fillId="18" borderId="2" xfId="0" applyNumberFormat="1" applyFont="1" applyFill="1" applyBorder="1" applyAlignment="1">
      <alignment horizontal="right" vertical="center"/>
    </xf>
    <xf numFmtId="0" fontId="1" fillId="19" borderId="1" xfId="0" applyFont="1" applyFill="1" applyAlignment="1">
      <alignment horizontal="left" vertical="top"/>
    </xf>
    <xf numFmtId="0" fontId="15" fillId="0" borderId="1" xfId="0" applyFont="1">
      <alignment vertical="top"/>
    </xf>
    <xf numFmtId="10" fontId="19" fillId="0" borderId="1" xfId="0" applyNumberFormat="1" applyFont="1">
      <alignment vertical="top"/>
    </xf>
    <xf numFmtId="2" fontId="20" fillId="0" borderId="1" xfId="0" applyNumberFormat="1" applyFont="1">
      <alignment vertical="top"/>
    </xf>
    <xf numFmtId="0" fontId="1" fillId="20" borderId="1" xfId="0" applyFont="1" applyFill="1" applyAlignment="1">
      <alignment horizontal="center" vertical="top"/>
    </xf>
    <xf numFmtId="0" fontId="1" fillId="20" borderId="1" xfId="0" applyFont="1" applyFill="1" applyAlignment="1">
      <alignment horizontal="center" vertical="top" wrapText="1"/>
    </xf>
    <xf numFmtId="164" fontId="2" fillId="0" borderId="1" xfId="0" applyNumberFormat="1" applyFont="1">
      <alignment vertical="top"/>
    </xf>
    <xf numFmtId="167" fontId="2" fillId="21" borderId="1" xfId="0" applyNumberFormat="1" applyFont="1" applyFill="1">
      <alignment vertical="top"/>
    </xf>
    <xf numFmtId="168" fontId="2" fillId="21" borderId="1" xfId="0" applyNumberFormat="1" applyFont="1" applyFill="1">
      <alignment vertical="top"/>
    </xf>
    <xf numFmtId="168" fontId="20" fillId="21" borderId="1" xfId="0" applyNumberFormat="1" applyFont="1" applyFill="1">
      <alignment vertical="top"/>
    </xf>
    <xf numFmtId="164" fontId="20" fillId="21" borderId="1" xfId="0" applyNumberFormat="1" applyFont="1" applyFill="1">
      <alignment vertical="top"/>
    </xf>
    <xf numFmtId="168" fontId="2" fillId="0" borderId="1" xfId="0" applyNumberFormat="1" applyFont="1">
      <alignment vertical="top"/>
    </xf>
    <xf numFmtId="168" fontId="20" fillId="0" borderId="1" xfId="0" applyNumberFormat="1" applyFont="1">
      <alignment vertical="top"/>
    </xf>
    <xf numFmtId="164" fontId="20" fillId="0" borderId="1" xfId="0" applyNumberFormat="1" applyFont="1">
      <alignment vertical="top"/>
    </xf>
    <xf numFmtId="167" fontId="2" fillId="0" borderId="1" xfId="0" applyNumberFormat="1" applyFont="1">
      <alignment vertical="top"/>
    </xf>
    <xf numFmtId="0" fontId="16" fillId="15" borderId="0" xfId="0" applyFont="1" applyFill="1" applyBorder="1" applyAlignment="1">
      <alignment vertical="top" wrapText="1"/>
    </xf>
    <xf numFmtId="0" fontId="17" fillId="16" borderId="0" xfId="0" applyFont="1" applyFill="1" applyBorder="1" applyAlignment="1">
      <alignment vertical="top" wrapText="1"/>
    </xf>
    <xf numFmtId="0" fontId="2" fillId="0" borderId="1" xfId="0" applyFont="1" applyAlignment="1">
      <alignment vertical="top" wrapText="1"/>
    </xf>
    <xf numFmtId="0" fontId="1" fillId="4" borderId="0" xfId="0" applyFont="1" applyFill="1" applyBorder="1" applyAlignment="1">
      <alignment horizontal="left" vertical="center"/>
    </xf>
    <xf numFmtId="0" fontId="2" fillId="0" borderId="1" xfId="0" applyFont="1">
      <alignment vertical="top"/>
    </xf>
    <xf numFmtId="0" fontId="1" fillId="17" borderId="0" xfId="0" applyFont="1" applyFill="1" applyBorder="1" applyAlignment="1">
      <alignment horizontal="left" vertical="center"/>
    </xf>
    <xf numFmtId="0" fontId="18" fillId="3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left" vertical="center"/>
    </xf>
    <xf numFmtId="0" fontId="8" fillId="0" borderId="1" xfId="0" applyFont="1">
      <alignment vertical="top"/>
    </xf>
    <xf numFmtId="0" fontId="7" fillId="7" borderId="0" xfId="0" applyFont="1" applyFill="1" applyBorder="1" applyAlignment="1">
      <alignment horizontal="center" vertical="center"/>
    </xf>
    <xf numFmtId="0" fontId="9" fillId="8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0" fontId="1" fillId="12" borderId="0" xfId="0" applyFont="1" applyFill="1" applyBorder="1" applyAlignment="1">
      <alignment horizontal="left" vertical="center"/>
    </xf>
    <xf numFmtId="0" fontId="14" fillId="13" borderId="0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0">
                <a:solidFill>
                  <a:srgbClr val="333333"/>
                </a:solidFill>
                <a:latin typeface="Arial"/>
              </a:defRPr>
            </a:pPr>
            <a:r>
              <a:rPr lang="en-IN" sz="1050" b="0">
                <a:solidFill>
                  <a:srgbClr val="333333"/>
                </a:solidFill>
                <a:latin typeface="Arial"/>
              </a:rPr>
              <a:t>Bond Price-Yield Curve vs. Duration Approximation</a:t>
            </a:r>
            <a:endParaRPr lang="en-IN"/>
          </a:p>
        </c:rich>
      </c:tx>
      <c:overlay val="0"/>
      <c:spPr>
        <a:noFill/>
        <a:ln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'Price-Yield &amp; Convexity'!$B$15</c:f>
              <c:strCache>
                <c:ptCount val="1"/>
                <c:pt idx="0">
                  <c:v>Actual Bond Price ($)</c:v>
                </c:pt>
              </c:strCache>
            </c:strRef>
          </c:tx>
          <c:spPr>
            <a:ln w="19050"/>
          </c:spPr>
          <c:marker>
            <c:symbol val="none"/>
          </c:marker>
          <c:cat>
            <c:numRef>
              <c:f>'Price-Yield &amp; Convexity'!$A$16:$A$34</c:f>
              <c:numCache>
                <c:formatCode>0.00%</c:formatCode>
                <c:ptCount val="19"/>
                <c:pt idx="0">
                  <c:v>0.01</c:v>
                </c:pt>
                <c:pt idx="1">
                  <c:v>1.4999999999999999E-2</c:v>
                </c:pt>
                <c:pt idx="2">
                  <c:v>0.02</c:v>
                </c:pt>
                <c:pt idx="3">
                  <c:v>2.5000000000000001E-2</c:v>
                </c:pt>
                <c:pt idx="4">
                  <c:v>0.03</c:v>
                </c:pt>
                <c:pt idx="5">
                  <c:v>3.5000000000000003E-2</c:v>
                </c:pt>
                <c:pt idx="6">
                  <c:v>0.04</c:v>
                </c:pt>
                <c:pt idx="7">
                  <c:v>4.4999999999999998E-2</c:v>
                </c:pt>
                <c:pt idx="8">
                  <c:v>0.05</c:v>
                </c:pt>
                <c:pt idx="9">
                  <c:v>5.5E-2</c:v>
                </c:pt>
                <c:pt idx="10">
                  <c:v>0.06</c:v>
                </c:pt>
                <c:pt idx="11">
                  <c:v>6.5000000000000002E-2</c:v>
                </c:pt>
                <c:pt idx="12">
                  <c:v>7.0000000000000007E-2</c:v>
                </c:pt>
                <c:pt idx="13">
                  <c:v>7.4999999999999997E-2</c:v>
                </c:pt>
                <c:pt idx="14">
                  <c:v>0.08</c:v>
                </c:pt>
                <c:pt idx="15">
                  <c:v>8.5000000000000006E-2</c:v>
                </c:pt>
                <c:pt idx="16">
                  <c:v>0.09</c:v>
                </c:pt>
                <c:pt idx="17">
                  <c:v>9.5000000000000001E-2</c:v>
                </c:pt>
                <c:pt idx="18">
                  <c:v>0.1</c:v>
                </c:pt>
              </c:numCache>
            </c:numRef>
          </c:cat>
          <c:val>
            <c:numRef>
              <c:f>'Price-Yield &amp; Convexity'!$B$16:$B$34</c:f>
              <c:numCache>
                <c:formatCode>\$#,##0.00</c:formatCode>
                <c:ptCount val="19"/>
                <c:pt idx="0">
                  <c:v>1379.748382933386</c:v>
                </c:pt>
                <c:pt idx="1">
                  <c:v>1323.8903446397533</c:v>
                </c:pt>
                <c:pt idx="2">
                  <c:v>1270.6832944940568</c:v>
                </c:pt>
                <c:pt idx="3">
                  <c:v>1219.9914516778199</c:v>
                </c:pt>
                <c:pt idx="4">
                  <c:v>1171.6863878508179</c:v>
                </c:pt>
                <c:pt idx="5">
                  <c:v>1125.6466097856271</c:v>
                </c:pt>
                <c:pt idx="6">
                  <c:v>1081.7571667229856</c:v>
                </c:pt>
                <c:pt idx="7">
                  <c:v>1039.9092809249398</c:v>
                </c:pt>
                <c:pt idx="8">
                  <c:v>1000</c:v>
                </c:pt>
                <c:pt idx="9">
                  <c:v>961.93186966556095</c:v>
                </c:pt>
                <c:pt idx="10">
                  <c:v>925.61262569772248</c:v>
                </c:pt>
                <c:pt idx="11">
                  <c:v>890.95490389799329</c:v>
                </c:pt>
                <c:pt idx="12">
                  <c:v>857.8759669804773</c:v>
                </c:pt>
                <c:pt idx="13">
                  <c:v>826.29744735238967</c:v>
                </c:pt>
                <c:pt idx="14">
                  <c:v>796.14510482548451</c:v>
                </c:pt>
                <c:pt idx="15">
                  <c:v>767.34859835645159</c:v>
                </c:pt>
                <c:pt idx="16">
                  <c:v>739.84127097092642</c:v>
                </c:pt>
                <c:pt idx="17">
                  <c:v>713.55994707861328</c:v>
                </c:pt>
                <c:pt idx="18">
                  <c:v>688.44474143650018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3D6-4649-A86D-C48501FD533D}"/>
            </c:ext>
          </c:extLst>
        </c:ser>
        <c:ser>
          <c:idx val="1"/>
          <c:order val="1"/>
          <c:tx>
            <c:strRef>
              <c:f>'Price-Yield &amp; Convexity'!#REF!</c:f>
              <c:strCache>
                <c:ptCount val="1"/>
                <c:pt idx="0">
                  <c:v>#REF!</c:v>
                </c:pt>
              </c:strCache>
            </c:strRef>
          </c:tx>
          <c:spPr>
            <a:ln w="19050"/>
          </c:spPr>
          <c:marker>
            <c:symbol val="none"/>
          </c:marker>
          <c:cat>
            <c:numRef>
              <c:f>'Price-Yield &amp; Convexity'!$A$16:$A$34</c:f>
              <c:numCache>
                <c:formatCode>0.00%</c:formatCode>
                <c:ptCount val="19"/>
                <c:pt idx="0">
                  <c:v>0.01</c:v>
                </c:pt>
                <c:pt idx="1">
                  <c:v>1.4999999999999999E-2</c:v>
                </c:pt>
                <c:pt idx="2">
                  <c:v>0.02</c:v>
                </c:pt>
                <c:pt idx="3">
                  <c:v>2.5000000000000001E-2</c:v>
                </c:pt>
                <c:pt idx="4">
                  <c:v>0.03</c:v>
                </c:pt>
                <c:pt idx="5">
                  <c:v>3.5000000000000003E-2</c:v>
                </c:pt>
                <c:pt idx="6">
                  <c:v>0.04</c:v>
                </c:pt>
                <c:pt idx="7">
                  <c:v>4.4999999999999998E-2</c:v>
                </c:pt>
                <c:pt idx="8">
                  <c:v>0.05</c:v>
                </c:pt>
                <c:pt idx="9">
                  <c:v>5.5E-2</c:v>
                </c:pt>
                <c:pt idx="10">
                  <c:v>0.06</c:v>
                </c:pt>
                <c:pt idx="11">
                  <c:v>6.5000000000000002E-2</c:v>
                </c:pt>
                <c:pt idx="12">
                  <c:v>7.0000000000000007E-2</c:v>
                </c:pt>
                <c:pt idx="13">
                  <c:v>7.4999999999999997E-2</c:v>
                </c:pt>
                <c:pt idx="14">
                  <c:v>0.08</c:v>
                </c:pt>
                <c:pt idx="15">
                  <c:v>8.5000000000000006E-2</c:v>
                </c:pt>
                <c:pt idx="16">
                  <c:v>0.09</c:v>
                </c:pt>
                <c:pt idx="17">
                  <c:v>9.5000000000000001E-2</c:v>
                </c:pt>
                <c:pt idx="18">
                  <c:v>0.1</c:v>
                </c:pt>
              </c:numCache>
            </c:numRef>
          </c:cat>
          <c:val>
            <c:numRef>
              <c:f>'Price-Yield &amp; Convexity'!#REF!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3D6-4649-A86D-C48501FD533D}"/>
            </c:ext>
          </c:extLst>
        </c:ser>
        <c:ser>
          <c:idx val="2"/>
          <c:order val="2"/>
          <c:tx>
            <c:strRef>
              <c:f>'Price-Yield &amp; Convexity'!#REF!</c:f>
              <c:strCache>
                <c:ptCount val="1"/>
                <c:pt idx="0">
                  <c:v>#REF!</c:v>
                </c:pt>
              </c:strCache>
            </c:strRef>
          </c:tx>
          <c:spPr>
            <a:ln w="19050"/>
          </c:spPr>
          <c:marker>
            <c:symbol val="none"/>
          </c:marker>
          <c:cat>
            <c:numRef>
              <c:f>'Price-Yield &amp; Convexity'!$A$16:$A$34</c:f>
              <c:numCache>
                <c:formatCode>0.00%</c:formatCode>
                <c:ptCount val="19"/>
                <c:pt idx="0">
                  <c:v>0.01</c:v>
                </c:pt>
                <c:pt idx="1">
                  <c:v>1.4999999999999999E-2</c:v>
                </c:pt>
                <c:pt idx="2">
                  <c:v>0.02</c:v>
                </c:pt>
                <c:pt idx="3">
                  <c:v>2.5000000000000001E-2</c:v>
                </c:pt>
                <c:pt idx="4">
                  <c:v>0.03</c:v>
                </c:pt>
                <c:pt idx="5">
                  <c:v>3.5000000000000003E-2</c:v>
                </c:pt>
                <c:pt idx="6">
                  <c:v>0.04</c:v>
                </c:pt>
                <c:pt idx="7">
                  <c:v>4.4999999999999998E-2</c:v>
                </c:pt>
                <c:pt idx="8">
                  <c:v>0.05</c:v>
                </c:pt>
                <c:pt idx="9">
                  <c:v>5.5E-2</c:v>
                </c:pt>
                <c:pt idx="10">
                  <c:v>0.06</c:v>
                </c:pt>
                <c:pt idx="11">
                  <c:v>6.5000000000000002E-2</c:v>
                </c:pt>
                <c:pt idx="12">
                  <c:v>7.0000000000000007E-2</c:v>
                </c:pt>
                <c:pt idx="13">
                  <c:v>7.4999999999999997E-2</c:v>
                </c:pt>
                <c:pt idx="14">
                  <c:v>0.08</c:v>
                </c:pt>
                <c:pt idx="15">
                  <c:v>8.5000000000000006E-2</c:v>
                </c:pt>
                <c:pt idx="16">
                  <c:v>0.09</c:v>
                </c:pt>
                <c:pt idx="17">
                  <c:v>9.5000000000000001E-2</c:v>
                </c:pt>
                <c:pt idx="18">
                  <c:v>0.1</c:v>
                </c:pt>
              </c:numCache>
            </c:numRef>
          </c:cat>
          <c:val>
            <c:numRef>
              <c:f>'Price-Yield &amp; Convexity'!#REF!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3D6-4649-A86D-C48501FD53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752417"/>
        <c:axId val="38141323"/>
      </c:lineChart>
      <c:catAx>
        <c:axId val="1475241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25" b="0">
                    <a:solidFill>
                      <a:srgbClr val="333333"/>
                    </a:solidFill>
                    <a:latin typeface="Arial"/>
                  </a:defRPr>
                </a:pPr>
                <a:r>
                  <a:rPr lang="en-IN" sz="825" b="0">
                    <a:solidFill>
                      <a:srgbClr val="333333"/>
                    </a:solidFill>
                    <a:latin typeface="Arial"/>
                  </a:rPr>
                  <a:t>Market Yield (YTM)</a:t>
                </a:r>
                <a:endParaRPr lang="en-IN"/>
              </a:p>
            </c:rich>
          </c:tx>
          <c:overlay val="0"/>
        </c:title>
        <c:numFmt formatCode="0.00%" sourceLinked="1"/>
        <c:majorTickMark val="none"/>
        <c:minorTickMark val="none"/>
        <c:tickLblPos val="nextTo"/>
        <c:spPr>
          <a:ln w="9525">
            <a:solidFill>
              <a:schemeClr val="tx1">
                <a:lumMod val="15000"/>
                <a:lumOff val="85000"/>
              </a:schemeClr>
            </a:solidFill>
          </a:ln>
        </c:spPr>
        <c:txPr>
          <a:bodyPr/>
          <a:lstStyle/>
          <a:p>
            <a:pPr>
              <a:defRPr sz="900" b="0">
                <a:solidFill>
                  <a:srgbClr val="595959"/>
                </a:solidFill>
                <a:latin typeface="Calibri"/>
              </a:defRPr>
            </a:pPr>
            <a:endParaRPr lang="en-US"/>
          </a:p>
        </c:txPr>
        <c:crossAx val="38141323"/>
        <c:crosses val="autoZero"/>
        <c:auto val="1"/>
        <c:lblAlgn val="ctr"/>
        <c:lblOffset val="0"/>
        <c:tickMarkSkip val="1"/>
        <c:noMultiLvlLbl val="1"/>
      </c:catAx>
      <c:valAx>
        <c:axId val="38141323"/>
        <c:scaling>
          <c:orientation val="minMax"/>
        </c:scaling>
        <c:delete val="0"/>
        <c:axPos val="l"/>
        <c:majorGridlines>
          <c:spPr>
            <a:ln w="9525">
              <a:solidFill>
                <a:srgbClr val="D9D9D9"/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825" b="0">
                    <a:solidFill>
                      <a:srgbClr val="333333"/>
                    </a:solidFill>
                    <a:latin typeface="Arial"/>
                  </a:defRPr>
                </a:pPr>
                <a:r>
                  <a:rPr lang="en-IN" sz="825" b="0">
                    <a:solidFill>
                      <a:srgbClr val="333333"/>
                    </a:solidFill>
                    <a:latin typeface="Arial"/>
                  </a:rPr>
                  <a:t>Bond Price ($)</a:t>
                </a:r>
                <a:endParaRPr lang="en-IN"/>
              </a:p>
            </c:rich>
          </c:tx>
          <c:overlay val="0"/>
        </c:title>
        <c:numFmt formatCode="\$#,##0.00" sourceLinked="1"/>
        <c:majorTickMark val="none"/>
        <c:minorTickMark val="none"/>
        <c:tickLblPos val="nextTo"/>
        <c:spPr>
          <a:ln w="9525">
            <a:solidFill>
              <a:schemeClr val="tx1">
                <a:lumMod val="15000"/>
                <a:lumOff val="85000"/>
              </a:schemeClr>
            </a:solidFill>
          </a:ln>
        </c:spPr>
        <c:txPr>
          <a:bodyPr/>
          <a:lstStyle/>
          <a:p>
            <a:pPr>
              <a:defRPr sz="900" b="0">
                <a:solidFill>
                  <a:srgbClr val="595959"/>
                </a:solidFill>
                <a:latin typeface="Calibri"/>
              </a:defRPr>
            </a:pPr>
            <a:endParaRPr lang="en-US"/>
          </a:p>
        </c:txPr>
        <c:crossAx val="14752417"/>
        <c:crosses val="autoZero"/>
        <c:crossBetween val="between"/>
      </c:valAx>
      <c:spPr>
        <a:noFill/>
        <a:ln>
          <a:noFill/>
        </a:ln>
      </c:spPr>
    </c:plotArea>
    <c:legend>
      <c:legendPos val="b"/>
      <c:overlay val="0"/>
      <c:spPr>
        <a:noFill/>
      </c:spPr>
      <c:txPr>
        <a:bodyPr/>
        <a:lstStyle/>
        <a:p>
          <a:pPr>
            <a:defRPr sz="750" b="0">
              <a:solidFill>
                <a:schemeClr val="tx1">
                  <a:lumMod val="65000"/>
                  <a:lumOff val="35000"/>
                </a:schemeClr>
              </a:solidFill>
              <a:latin typeface="Arial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txPr>
    <a:bodyPr/>
    <a:lstStyle/>
    <a:p>
      <a:pPr>
        <a:defRPr b="0">
          <a:solidFill>
            <a:schemeClr val="tx1">
              <a:lumMod val="65000"/>
              <a:lumOff val="35000"/>
            </a:schemeClr>
          </a:solidFill>
          <a:latin typeface="+mn-lt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0">
                <a:solidFill>
                  <a:srgbClr val="333333"/>
                </a:solidFill>
                <a:latin typeface="Arial"/>
              </a:defRPr>
            </a:pPr>
            <a:r>
              <a:rPr lang="en-IN" sz="1050" b="0">
                <a:solidFill>
                  <a:srgbClr val="333333"/>
                </a:solidFill>
                <a:latin typeface="Arial"/>
              </a:rPr>
              <a:t>Interest Rate Shock Impact by Maturity (±200 bps)</a:t>
            </a:r>
            <a:endParaRPr lang="en-IN"/>
          </a:p>
        </c:rich>
      </c:tx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'Price-Yield &amp; Convexity'!$G$37</c:f>
              <c:strCache>
                <c:ptCount val="1"/>
                <c:pt idx="0">
                  <c:v>Price @ 3% (-200 bps)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Lbls>
            <c:spPr>
              <a:noFill/>
              <a:ln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eparator>,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'Price-Yield &amp; Convexity'!$A$38:$A$41</c:f>
              <c:strCache>
                <c:ptCount val="4"/>
                <c:pt idx="0">
                  <c:v>2-Year Note</c:v>
                </c:pt>
                <c:pt idx="1">
                  <c:v>5-Year Note</c:v>
                </c:pt>
                <c:pt idx="2">
                  <c:v>10-Year Bond</c:v>
                </c:pt>
                <c:pt idx="3">
                  <c:v>30-Year Bond</c:v>
                </c:pt>
              </c:strCache>
            </c:strRef>
          </c:cat>
          <c:val>
            <c:numRef>
              <c:f>'Price-Yield &amp; Convexity'!$G$38:$G$41</c:f>
              <c:numCache>
                <c:formatCode>\$#,##0.00</c:formatCode>
                <c:ptCount val="4"/>
                <c:pt idx="0">
                  <c:v>1038.5438464755171</c:v>
                </c:pt>
                <c:pt idx="1">
                  <c:v>1092.2218455185437</c:v>
                </c:pt>
                <c:pt idx="2">
                  <c:v>1171.6863878508179</c:v>
                </c:pt>
                <c:pt idx="3">
                  <c:v>1393.802688853428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0-6D44-B021-6D0DDF6938B6}"/>
            </c:ext>
          </c:extLst>
        </c:ser>
        <c:ser>
          <c:idx val="1"/>
          <c:order val="1"/>
          <c:tx>
            <c:strRef>
              <c:f>'Price-Yield &amp; Convexity'!$H$37</c:f>
              <c:strCache>
                <c:ptCount val="1"/>
                <c:pt idx="0">
                  <c:v>Price @ 7% (+200 bps)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dLbls>
            <c:spPr>
              <a:noFill/>
              <a:ln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eparator>,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'Price-Yield &amp; Convexity'!$A$38:$A$41</c:f>
              <c:strCache>
                <c:ptCount val="4"/>
                <c:pt idx="0">
                  <c:v>2-Year Note</c:v>
                </c:pt>
                <c:pt idx="1">
                  <c:v>5-Year Note</c:v>
                </c:pt>
                <c:pt idx="2">
                  <c:v>10-Year Bond</c:v>
                </c:pt>
                <c:pt idx="3">
                  <c:v>30-Year Bond</c:v>
                </c:pt>
              </c:strCache>
            </c:strRef>
          </c:cat>
          <c:val>
            <c:numRef>
              <c:f>'Price-Yield &amp; Convexity'!$H$38:$H$41</c:f>
              <c:numCache>
                <c:formatCode>\$#,##0.00</c:formatCode>
                <c:ptCount val="4"/>
                <c:pt idx="0">
                  <c:v>963.26920791387772</c:v>
                </c:pt>
                <c:pt idx="1">
                  <c:v>916.83394677422064</c:v>
                </c:pt>
                <c:pt idx="2">
                  <c:v>857.8759669804773</c:v>
                </c:pt>
                <c:pt idx="3">
                  <c:v>750.55265881751495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0-6D44-B021-6D0DDF6938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7"/>
        <c:axId val="74361621"/>
        <c:axId val="85330371"/>
      </c:barChart>
      <c:catAx>
        <c:axId val="7436162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25" b="0">
                    <a:solidFill>
                      <a:srgbClr val="333333"/>
                    </a:solidFill>
                    <a:latin typeface="Arial"/>
                  </a:defRPr>
                </a:pPr>
                <a:r>
                  <a:rPr lang="en-IN" sz="825" b="0">
                    <a:solidFill>
                      <a:srgbClr val="333333"/>
                    </a:solidFill>
                    <a:latin typeface="Arial"/>
                  </a:rPr>
                  <a:t>Maturity Tenor</a:t>
                </a:r>
                <a:endParaRPr lang="en-IN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 w="9525">
            <a:solidFill>
              <a:schemeClr val="tx1">
                <a:lumMod val="15000"/>
                <a:lumOff val="85000"/>
              </a:schemeClr>
            </a:solidFill>
          </a:ln>
        </c:spPr>
        <c:txPr>
          <a:bodyPr/>
          <a:lstStyle/>
          <a:p>
            <a:pPr>
              <a:defRPr sz="900" b="0">
                <a:solidFill>
                  <a:srgbClr val="595959"/>
                </a:solidFill>
                <a:latin typeface="Calibri"/>
              </a:defRPr>
            </a:pPr>
            <a:endParaRPr lang="en-US"/>
          </a:p>
        </c:txPr>
        <c:crossAx val="85330371"/>
        <c:crosses val="autoZero"/>
        <c:auto val="1"/>
        <c:lblAlgn val="ctr"/>
        <c:lblOffset val="0"/>
        <c:tickMarkSkip val="1"/>
        <c:noMultiLvlLbl val="1"/>
      </c:catAx>
      <c:valAx>
        <c:axId val="85330371"/>
        <c:scaling>
          <c:orientation val="minMax"/>
        </c:scaling>
        <c:delete val="0"/>
        <c:axPos val="l"/>
        <c:majorGridlines>
          <c:spPr>
            <a:ln w="9525">
              <a:solidFill>
                <a:srgbClr val="D9D9D9"/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825" b="0">
                    <a:solidFill>
                      <a:srgbClr val="333333"/>
                    </a:solidFill>
                    <a:latin typeface="Arial"/>
                  </a:defRPr>
                </a:pPr>
                <a:r>
                  <a:rPr lang="en-IN" sz="825" b="0">
                    <a:solidFill>
                      <a:srgbClr val="333333"/>
                    </a:solidFill>
                    <a:latin typeface="Arial"/>
                  </a:rPr>
                  <a:t>Bond Price ($)</a:t>
                </a:r>
                <a:endParaRPr lang="en-IN"/>
              </a:p>
            </c:rich>
          </c:tx>
          <c:overlay val="0"/>
        </c:title>
        <c:numFmt formatCode="\$#,##0.00" sourceLinked="1"/>
        <c:majorTickMark val="none"/>
        <c:minorTickMark val="none"/>
        <c:tickLblPos val="nextTo"/>
        <c:spPr>
          <a:ln w="9525">
            <a:solidFill>
              <a:schemeClr val="tx1">
                <a:lumMod val="15000"/>
                <a:lumOff val="85000"/>
              </a:schemeClr>
            </a:solidFill>
          </a:ln>
        </c:spPr>
        <c:txPr>
          <a:bodyPr/>
          <a:lstStyle/>
          <a:p>
            <a:pPr>
              <a:defRPr sz="900" b="0">
                <a:solidFill>
                  <a:srgbClr val="595959"/>
                </a:solidFill>
                <a:latin typeface="Calibri"/>
              </a:defRPr>
            </a:pPr>
            <a:endParaRPr lang="en-US"/>
          </a:p>
        </c:txPr>
        <c:crossAx val="74361621"/>
        <c:crosses val="autoZero"/>
        <c:crossBetween val="between"/>
      </c:valAx>
      <c:spPr>
        <a:noFill/>
        <a:ln>
          <a:noFill/>
        </a:ln>
      </c:spPr>
    </c:plotArea>
    <c:legend>
      <c:legendPos val="b"/>
      <c:overlay val="0"/>
      <c:spPr>
        <a:noFill/>
      </c:spPr>
      <c:txPr>
        <a:bodyPr/>
        <a:lstStyle/>
        <a:p>
          <a:pPr>
            <a:defRPr sz="750" b="0">
              <a:solidFill>
                <a:schemeClr val="tx1">
                  <a:lumMod val="65000"/>
                  <a:lumOff val="35000"/>
                </a:schemeClr>
              </a:solidFill>
              <a:latin typeface="Arial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txPr>
    <a:bodyPr/>
    <a:lstStyle/>
    <a:p>
      <a:pPr>
        <a:defRPr b="0">
          <a:solidFill>
            <a:schemeClr val="tx1">
              <a:lumMod val="65000"/>
              <a:lumOff val="35000"/>
            </a:schemeClr>
          </a:solidFill>
          <a:latin typeface="+mn-lt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0">
                <a:solidFill>
                  <a:srgbClr val="333333"/>
                </a:solidFill>
                <a:latin typeface="Arial"/>
              </a:defRPr>
            </a:pPr>
            <a:r>
              <a:rPr lang="en-IN" sz="1050" b="0">
                <a:solidFill>
                  <a:srgbClr val="333333"/>
                </a:solidFill>
                <a:latin typeface="Arial"/>
              </a:rPr>
              <a:t>US Treasury Yield Curve Profiles (Normal vs. Inverted vs. Flat)</a:t>
            </a:r>
            <a:endParaRPr lang="en-IN"/>
          </a:p>
        </c:rich>
      </c:tx>
      <c:overlay val="0"/>
      <c:spPr>
        <a:noFill/>
        <a:ln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'Yield Curves &amp; Markets'!$C$14</c:f>
              <c:strCache>
                <c:ptCount val="1"/>
                <c:pt idx="0">
                  <c:v>Normal Expansion Curve (%)</c:v>
                </c:pt>
              </c:strCache>
            </c:strRef>
          </c:tx>
          <c:spPr>
            <a:ln w="19050"/>
          </c:spPr>
          <c:marker>
            <c:symbol val="none"/>
          </c:marker>
          <c:cat>
            <c:strRef>
              <c:f>'Yield Curves &amp; Markets'!$A$15:$A$22</c:f>
              <c:strCache>
                <c:ptCount val="8"/>
                <c:pt idx="0">
                  <c:v>1 Month</c:v>
                </c:pt>
                <c:pt idx="1">
                  <c:v>3 Month</c:v>
                </c:pt>
                <c:pt idx="2">
                  <c:v>6 Month</c:v>
                </c:pt>
                <c:pt idx="3">
                  <c:v>1 Year</c:v>
                </c:pt>
                <c:pt idx="4">
                  <c:v>2 Year</c:v>
                </c:pt>
                <c:pt idx="5">
                  <c:v>5 Year</c:v>
                </c:pt>
                <c:pt idx="6">
                  <c:v>10 Year</c:v>
                </c:pt>
                <c:pt idx="7">
                  <c:v>30 Year</c:v>
                </c:pt>
              </c:strCache>
            </c:strRef>
          </c:cat>
          <c:val>
            <c:numRef>
              <c:f>'Yield Curves &amp; Markets'!$C$15:$C$22</c:f>
              <c:numCache>
                <c:formatCode>0.00%</c:formatCode>
                <c:ptCount val="8"/>
                <c:pt idx="0">
                  <c:v>3.2500000000000001E-2</c:v>
                </c:pt>
                <c:pt idx="1">
                  <c:v>3.5000000000000003E-2</c:v>
                </c:pt>
                <c:pt idx="2">
                  <c:v>3.7499999999999999E-2</c:v>
                </c:pt>
                <c:pt idx="3">
                  <c:v>0.04</c:v>
                </c:pt>
                <c:pt idx="4">
                  <c:v>4.2500000000000003E-2</c:v>
                </c:pt>
                <c:pt idx="5">
                  <c:v>4.5999999999999999E-2</c:v>
                </c:pt>
                <c:pt idx="6">
                  <c:v>0.05</c:v>
                </c:pt>
                <c:pt idx="7">
                  <c:v>5.3999999999999999E-2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E3-5748-91E5-C58BEECA3F62}"/>
            </c:ext>
          </c:extLst>
        </c:ser>
        <c:ser>
          <c:idx val="1"/>
          <c:order val="1"/>
          <c:tx>
            <c:strRef>
              <c:f>'Yield Curves &amp; Markets'!$D$14</c:f>
              <c:strCache>
                <c:ptCount val="1"/>
                <c:pt idx="0">
                  <c:v>Inverted Pre-Recession Curve (%)</c:v>
                </c:pt>
              </c:strCache>
            </c:strRef>
          </c:tx>
          <c:spPr>
            <a:ln w="19050"/>
          </c:spPr>
          <c:marker>
            <c:symbol val="none"/>
          </c:marker>
          <c:cat>
            <c:strRef>
              <c:f>'Yield Curves &amp; Markets'!$A$15:$A$22</c:f>
              <c:strCache>
                <c:ptCount val="8"/>
                <c:pt idx="0">
                  <c:v>1 Month</c:v>
                </c:pt>
                <c:pt idx="1">
                  <c:v>3 Month</c:v>
                </c:pt>
                <c:pt idx="2">
                  <c:v>6 Month</c:v>
                </c:pt>
                <c:pt idx="3">
                  <c:v>1 Year</c:v>
                </c:pt>
                <c:pt idx="4">
                  <c:v>2 Year</c:v>
                </c:pt>
                <c:pt idx="5">
                  <c:v>5 Year</c:v>
                </c:pt>
                <c:pt idx="6">
                  <c:v>10 Year</c:v>
                </c:pt>
                <c:pt idx="7">
                  <c:v>30 Year</c:v>
                </c:pt>
              </c:strCache>
            </c:strRef>
          </c:cat>
          <c:val>
            <c:numRef>
              <c:f>'Yield Curves &amp; Markets'!$D$15:$D$22</c:f>
              <c:numCache>
                <c:formatCode>0.00%</c:formatCode>
                <c:ptCount val="8"/>
                <c:pt idx="0">
                  <c:v>5.5E-2</c:v>
                </c:pt>
                <c:pt idx="1">
                  <c:v>5.3999999999999999E-2</c:v>
                </c:pt>
                <c:pt idx="2">
                  <c:v>5.2999999999999999E-2</c:v>
                </c:pt>
                <c:pt idx="3">
                  <c:v>5.0999999999999997E-2</c:v>
                </c:pt>
                <c:pt idx="4">
                  <c:v>4.9000000000000002E-2</c:v>
                </c:pt>
                <c:pt idx="5">
                  <c:v>4.2999999999999997E-2</c:v>
                </c:pt>
                <c:pt idx="6">
                  <c:v>4.1000000000000002E-2</c:v>
                </c:pt>
                <c:pt idx="7">
                  <c:v>4.2500000000000003E-2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E3-5748-91E5-C58BEECA3F62}"/>
            </c:ext>
          </c:extLst>
        </c:ser>
        <c:ser>
          <c:idx val="2"/>
          <c:order val="2"/>
          <c:tx>
            <c:strRef>
              <c:f>'Yield Curves &amp; Markets'!$E$14</c:f>
              <c:strCache>
                <c:ptCount val="1"/>
                <c:pt idx="0">
                  <c:v>Flat Transition Curve (%)</c:v>
                </c:pt>
              </c:strCache>
            </c:strRef>
          </c:tx>
          <c:spPr>
            <a:ln w="19050"/>
          </c:spPr>
          <c:marker>
            <c:symbol val="none"/>
          </c:marker>
          <c:cat>
            <c:strRef>
              <c:f>'Yield Curves &amp; Markets'!$A$15:$A$22</c:f>
              <c:strCache>
                <c:ptCount val="8"/>
                <c:pt idx="0">
                  <c:v>1 Month</c:v>
                </c:pt>
                <c:pt idx="1">
                  <c:v>3 Month</c:v>
                </c:pt>
                <c:pt idx="2">
                  <c:v>6 Month</c:v>
                </c:pt>
                <c:pt idx="3">
                  <c:v>1 Year</c:v>
                </c:pt>
                <c:pt idx="4">
                  <c:v>2 Year</c:v>
                </c:pt>
                <c:pt idx="5">
                  <c:v>5 Year</c:v>
                </c:pt>
                <c:pt idx="6">
                  <c:v>10 Year</c:v>
                </c:pt>
                <c:pt idx="7">
                  <c:v>30 Year</c:v>
                </c:pt>
              </c:strCache>
            </c:strRef>
          </c:cat>
          <c:val>
            <c:numRef>
              <c:f>'Yield Curves &amp; Markets'!$E$15:$E$22</c:f>
              <c:numCache>
                <c:formatCode>0.00%</c:formatCode>
                <c:ptCount val="8"/>
                <c:pt idx="0">
                  <c:v>4.4999999999999998E-2</c:v>
                </c:pt>
                <c:pt idx="1">
                  <c:v>4.4999999999999998E-2</c:v>
                </c:pt>
                <c:pt idx="2">
                  <c:v>4.4999999999999998E-2</c:v>
                </c:pt>
                <c:pt idx="3">
                  <c:v>4.4999999999999998E-2</c:v>
                </c:pt>
                <c:pt idx="4">
                  <c:v>4.4999999999999998E-2</c:v>
                </c:pt>
                <c:pt idx="5">
                  <c:v>4.4999999999999998E-2</c:v>
                </c:pt>
                <c:pt idx="6">
                  <c:v>4.4999999999999998E-2</c:v>
                </c:pt>
                <c:pt idx="7">
                  <c:v>4.4999999999999998E-2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6E3-5748-91E5-C58BEECA3F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3175316"/>
        <c:axId val="68434169"/>
      </c:lineChart>
      <c:catAx>
        <c:axId val="731753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25" b="0">
                    <a:solidFill>
                      <a:srgbClr val="333333"/>
                    </a:solidFill>
                    <a:latin typeface="Arial"/>
                  </a:defRPr>
                </a:pPr>
                <a:r>
                  <a:rPr lang="en-IN" sz="825" b="0">
                    <a:solidFill>
                      <a:srgbClr val="333333"/>
                    </a:solidFill>
                    <a:latin typeface="Arial"/>
                  </a:rPr>
                  <a:t>Maturity Tenor</a:t>
                </a:r>
                <a:endParaRPr lang="en-IN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 w="9525">
            <a:solidFill>
              <a:schemeClr val="tx1">
                <a:lumMod val="15000"/>
                <a:lumOff val="85000"/>
              </a:schemeClr>
            </a:solidFill>
          </a:ln>
        </c:spPr>
        <c:txPr>
          <a:bodyPr/>
          <a:lstStyle/>
          <a:p>
            <a:pPr>
              <a:defRPr sz="900" b="0">
                <a:solidFill>
                  <a:srgbClr val="595959"/>
                </a:solidFill>
                <a:latin typeface="Calibri"/>
              </a:defRPr>
            </a:pPr>
            <a:endParaRPr lang="en-US"/>
          </a:p>
        </c:txPr>
        <c:crossAx val="68434169"/>
        <c:crosses val="autoZero"/>
        <c:auto val="1"/>
        <c:lblAlgn val="ctr"/>
        <c:lblOffset val="0"/>
        <c:tickMarkSkip val="1"/>
        <c:noMultiLvlLbl val="1"/>
      </c:catAx>
      <c:valAx>
        <c:axId val="68434169"/>
        <c:scaling>
          <c:orientation val="minMax"/>
        </c:scaling>
        <c:delete val="0"/>
        <c:axPos val="l"/>
        <c:majorGridlines>
          <c:spPr>
            <a:ln w="9525">
              <a:solidFill>
                <a:srgbClr val="D9D9D9"/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825" b="0">
                    <a:solidFill>
                      <a:srgbClr val="333333"/>
                    </a:solidFill>
                    <a:latin typeface="Arial"/>
                  </a:defRPr>
                </a:pPr>
                <a:r>
                  <a:rPr lang="en-IN" sz="825" b="0">
                    <a:solidFill>
                      <a:srgbClr val="333333"/>
                    </a:solidFill>
                    <a:latin typeface="Arial"/>
                  </a:rPr>
                  <a:t>Yield (%)</a:t>
                </a:r>
                <a:endParaRPr lang="en-IN"/>
              </a:p>
            </c:rich>
          </c:tx>
          <c:overlay val="0"/>
        </c:title>
        <c:numFmt formatCode="0.00%" sourceLinked="1"/>
        <c:majorTickMark val="none"/>
        <c:minorTickMark val="none"/>
        <c:tickLblPos val="nextTo"/>
        <c:spPr>
          <a:ln w="9525">
            <a:solidFill>
              <a:schemeClr val="tx1">
                <a:lumMod val="15000"/>
                <a:lumOff val="85000"/>
              </a:schemeClr>
            </a:solidFill>
          </a:ln>
        </c:spPr>
        <c:txPr>
          <a:bodyPr/>
          <a:lstStyle/>
          <a:p>
            <a:pPr>
              <a:defRPr sz="900" b="0">
                <a:solidFill>
                  <a:srgbClr val="595959"/>
                </a:solidFill>
                <a:latin typeface="Calibri"/>
              </a:defRPr>
            </a:pPr>
            <a:endParaRPr lang="en-US"/>
          </a:p>
        </c:txPr>
        <c:crossAx val="73175316"/>
        <c:crosses val="autoZero"/>
        <c:crossBetween val="between"/>
      </c:valAx>
      <c:spPr>
        <a:noFill/>
        <a:ln>
          <a:noFill/>
        </a:ln>
      </c:spPr>
    </c:plotArea>
    <c:legend>
      <c:legendPos val="b"/>
      <c:overlay val="0"/>
      <c:spPr>
        <a:noFill/>
      </c:spPr>
      <c:txPr>
        <a:bodyPr/>
        <a:lstStyle/>
        <a:p>
          <a:pPr>
            <a:defRPr sz="750" b="0">
              <a:solidFill>
                <a:schemeClr val="tx1">
                  <a:lumMod val="65000"/>
                  <a:lumOff val="35000"/>
                </a:schemeClr>
              </a:solidFill>
              <a:latin typeface="Arial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txPr>
    <a:bodyPr/>
    <a:lstStyle/>
    <a:p>
      <a:pPr>
        <a:defRPr b="0">
          <a:solidFill>
            <a:schemeClr val="tx1">
              <a:lumMod val="65000"/>
              <a:lumOff val="35000"/>
            </a:schemeClr>
          </a:solidFill>
          <a:latin typeface="+mn-lt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0</xdr:rowOff>
    </xdr:from>
    <xdr:to>
      <xdr:col>3</xdr:col>
      <xdr:colOff>1362075</xdr:colOff>
      <xdr:row>58</xdr:row>
      <xdr:rowOff>0</xdr:rowOff>
    </xdr:to>
    <xdr:graphicFrame macro="">
      <xdr:nvGraphicFramePr>
        <xdr:cNvPr id="2" name="Chart_Price_Yield_Curv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142875</xdr:colOff>
      <xdr:row>41</xdr:row>
      <xdr:rowOff>0</xdr:rowOff>
    </xdr:from>
    <xdr:to>
      <xdr:col>7</xdr:col>
      <xdr:colOff>476250</xdr:colOff>
      <xdr:row>58</xdr:row>
      <xdr:rowOff>0</xdr:rowOff>
    </xdr:to>
    <xdr:graphicFrame macro="">
      <xdr:nvGraphicFramePr>
        <xdr:cNvPr id="3" name="Chart_Tenor_Sensitivity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946150</xdr:colOff>
      <xdr:row>8</xdr:row>
      <xdr:rowOff>114300</xdr:rowOff>
    </xdr:from>
    <xdr:to>
      <xdr:col>18</xdr:col>
      <xdr:colOff>273050</xdr:colOff>
      <xdr:row>26</xdr:row>
      <xdr:rowOff>114300</xdr:rowOff>
    </xdr:to>
    <xdr:graphicFrame macro="">
      <xdr:nvGraphicFramePr>
        <xdr:cNvPr id="2" name="Chart_Yield_Curves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B032B1F6-3D3C-5841-A734-F48DDB2706D7}">
  <we:reference id="wa200009404" version="1.0.0.8" store="en-US" storeType="OMEX"/>
  <we:alternateReferences>
    <we:reference id="WA200009404" version="1.0.0.8" store="" storeType="OMEX"/>
  </we:alternateReferences>
  <we:properties>
    <we:property name="claude.fileId" value="&quot;1670caff-df76-4bc7-8e36-48da0eb0cf04&quot;"/>
  </we:properties>
  <we:bindings/>
  <we:snapshot xmlns:r="http://schemas.openxmlformats.org/officeDocument/2006/relationships"/>
</we:webextension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68A38-9DDB-03D8-2AB8-687C74768818}">
  <dimension ref="A1:G41"/>
  <sheetViews>
    <sheetView tabSelected="1" topLeftCell="A33" workbookViewId="0">
      <selection activeCell="C37" sqref="C37"/>
    </sheetView>
  </sheetViews>
  <sheetFormatPr baseColWidth="10" defaultColWidth="8.83203125" defaultRowHeight="26" x14ac:dyDescent="0.2"/>
  <cols>
    <col min="1" max="1" width="27.1640625" style="1" customWidth="1"/>
    <col min="2" max="2" width="34.33203125" style="1" customWidth="1"/>
    <col min="3" max="3" width="32.83203125" style="1" customWidth="1"/>
    <col min="4" max="4" width="22.83203125" style="1" customWidth="1"/>
    <col min="5" max="6" width="28.5" style="1" customWidth="1"/>
    <col min="7" max="7" width="41.33203125" style="1" customWidth="1"/>
    <col min="8" max="16384" width="8.83203125" style="1"/>
  </cols>
  <sheetData>
    <row r="1" spans="1:7" x14ac:dyDescent="0.2">
      <c r="A1" s="83" t="s">
        <v>0</v>
      </c>
      <c r="B1" s="80"/>
      <c r="C1" s="80"/>
      <c r="D1" s="80"/>
      <c r="E1" s="80"/>
      <c r="F1" s="80"/>
      <c r="G1" s="80"/>
    </row>
    <row r="2" spans="1:7" x14ac:dyDescent="0.2">
      <c r="A2" s="80"/>
      <c r="B2" s="80"/>
      <c r="C2" s="80"/>
      <c r="D2" s="80"/>
      <c r="E2" s="80"/>
      <c r="F2" s="80"/>
      <c r="G2" s="80"/>
    </row>
    <row r="3" spans="1:7" x14ac:dyDescent="0.2">
      <c r="A3" s="84" t="s">
        <v>1</v>
      </c>
      <c r="B3" s="80"/>
      <c r="C3" s="80"/>
      <c r="D3" s="80"/>
      <c r="E3" s="80"/>
      <c r="F3" s="80"/>
      <c r="G3" s="80"/>
    </row>
    <row r="5" spans="1:7" x14ac:dyDescent="0.2">
      <c r="A5" s="79" t="s">
        <v>2</v>
      </c>
      <c r="B5" s="80"/>
      <c r="C5" s="80"/>
      <c r="D5" s="80"/>
      <c r="E5" s="80"/>
      <c r="F5" s="80"/>
      <c r="G5" s="80"/>
    </row>
    <row r="6" spans="1:7" x14ac:dyDescent="0.2">
      <c r="A6" s="2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</row>
    <row r="7" spans="1:7" x14ac:dyDescent="0.2">
      <c r="A7" s="3" t="s">
        <v>10</v>
      </c>
      <c r="B7" s="4" t="s">
        <v>11</v>
      </c>
      <c r="C7" s="4" t="s">
        <v>12</v>
      </c>
      <c r="D7" s="3" t="s">
        <v>13</v>
      </c>
      <c r="E7" s="4" t="s">
        <v>14</v>
      </c>
      <c r="F7" s="4" t="s">
        <v>15</v>
      </c>
      <c r="G7" s="4" t="s">
        <v>16</v>
      </c>
    </row>
    <row r="8" spans="1:7" x14ac:dyDescent="0.2">
      <c r="A8" s="5" t="s">
        <v>17</v>
      </c>
      <c r="B8" s="6" t="s">
        <v>18</v>
      </c>
      <c r="C8" s="6" t="s">
        <v>19</v>
      </c>
      <c r="D8" s="5" t="s">
        <v>20</v>
      </c>
      <c r="E8" s="6" t="s">
        <v>21</v>
      </c>
      <c r="F8" s="6" t="s">
        <v>22</v>
      </c>
      <c r="G8" s="6" t="s">
        <v>23</v>
      </c>
    </row>
    <row r="9" spans="1:7" x14ac:dyDescent="0.2">
      <c r="A9" s="3" t="s">
        <v>24</v>
      </c>
      <c r="B9" s="4" t="s">
        <v>25</v>
      </c>
      <c r="C9" s="4" t="s">
        <v>26</v>
      </c>
      <c r="D9" s="3" t="s">
        <v>27</v>
      </c>
      <c r="E9" s="4" t="s">
        <v>28</v>
      </c>
      <c r="F9" s="4" t="s">
        <v>29</v>
      </c>
      <c r="G9" s="4" t="s">
        <v>30</v>
      </c>
    </row>
    <row r="10" spans="1:7" x14ac:dyDescent="0.2">
      <c r="A10" s="5" t="s">
        <v>31</v>
      </c>
      <c r="B10" s="6" t="s">
        <v>32</v>
      </c>
      <c r="C10" s="6" t="s">
        <v>33</v>
      </c>
      <c r="D10" s="5" t="s">
        <v>34</v>
      </c>
      <c r="E10" s="6" t="s">
        <v>35</v>
      </c>
      <c r="F10" s="6" t="s">
        <v>36</v>
      </c>
      <c r="G10" s="6" t="s">
        <v>37</v>
      </c>
    </row>
    <row r="11" spans="1:7" x14ac:dyDescent="0.2">
      <c r="A11" s="3" t="s">
        <v>38</v>
      </c>
      <c r="B11" s="4" t="s">
        <v>39</v>
      </c>
      <c r="C11" s="4" t="s">
        <v>40</v>
      </c>
      <c r="D11" s="3" t="s">
        <v>41</v>
      </c>
      <c r="E11" s="4" t="s">
        <v>42</v>
      </c>
      <c r="F11" s="4" t="s">
        <v>43</v>
      </c>
      <c r="G11" s="4" t="s">
        <v>44</v>
      </c>
    </row>
    <row r="12" spans="1:7" x14ac:dyDescent="0.2">
      <c r="A12" s="5" t="s">
        <v>45</v>
      </c>
      <c r="B12" s="6" t="s">
        <v>46</v>
      </c>
      <c r="C12" s="6" t="s">
        <v>47</v>
      </c>
      <c r="D12" s="5" t="s">
        <v>48</v>
      </c>
      <c r="E12" s="6" t="s">
        <v>49</v>
      </c>
      <c r="F12" s="6" t="s">
        <v>50</v>
      </c>
      <c r="G12" s="6" t="s">
        <v>51</v>
      </c>
    </row>
    <row r="13" spans="1:7" x14ac:dyDescent="0.2">
      <c r="A13" s="3" t="s">
        <v>52</v>
      </c>
      <c r="B13" s="4" t="s">
        <v>53</v>
      </c>
      <c r="C13" s="4" t="s">
        <v>54</v>
      </c>
      <c r="D13" s="3" t="s">
        <v>55</v>
      </c>
      <c r="E13" s="4" t="s">
        <v>56</v>
      </c>
      <c r="F13" s="4" t="s">
        <v>57</v>
      </c>
      <c r="G13" s="4" t="s">
        <v>58</v>
      </c>
    </row>
    <row r="15" spans="1:7" x14ac:dyDescent="0.2">
      <c r="A15" s="79" t="s">
        <v>59</v>
      </c>
      <c r="B15" s="80"/>
      <c r="C15" s="80"/>
      <c r="D15" s="80"/>
      <c r="E15" s="80"/>
      <c r="F15" s="80"/>
      <c r="G15" s="80"/>
    </row>
    <row r="16" spans="1:7" x14ac:dyDescent="0.2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64</v>
      </c>
      <c r="F16" s="2" t="s">
        <v>65</v>
      </c>
      <c r="G16" s="2" t="s">
        <v>66</v>
      </c>
    </row>
    <row r="17" spans="1:7" ht="108" x14ac:dyDescent="0.2">
      <c r="A17" s="11" t="s">
        <v>67</v>
      </c>
      <c r="B17" s="11" t="s">
        <v>68</v>
      </c>
      <c r="C17" s="11" t="s">
        <v>69</v>
      </c>
      <c r="D17" s="11" t="s">
        <v>70</v>
      </c>
      <c r="E17" s="11" t="s">
        <v>71</v>
      </c>
      <c r="F17" s="11" t="s">
        <v>72</v>
      </c>
      <c r="G17" s="11" t="s">
        <v>73</v>
      </c>
    </row>
    <row r="18" spans="1:7" ht="108" x14ac:dyDescent="0.2">
      <c r="A18" s="12" t="s">
        <v>74</v>
      </c>
      <c r="B18" s="13" t="s">
        <v>75</v>
      </c>
      <c r="C18" s="13" t="s">
        <v>76</v>
      </c>
      <c r="D18" s="12" t="s">
        <v>77</v>
      </c>
      <c r="E18" s="13" t="s">
        <v>78</v>
      </c>
      <c r="F18" s="13" t="s">
        <v>79</v>
      </c>
      <c r="G18" s="13" t="s">
        <v>80</v>
      </c>
    </row>
    <row r="19" spans="1:7" ht="108" x14ac:dyDescent="0.2">
      <c r="A19" s="14" t="s">
        <v>81</v>
      </c>
      <c r="B19" s="11" t="s">
        <v>82</v>
      </c>
      <c r="C19" s="11" t="s">
        <v>83</v>
      </c>
      <c r="D19" s="14" t="s">
        <v>84</v>
      </c>
      <c r="E19" s="11" t="s">
        <v>85</v>
      </c>
      <c r="F19" s="11" t="s">
        <v>86</v>
      </c>
      <c r="G19" s="11" t="s">
        <v>87</v>
      </c>
    </row>
    <row r="21" spans="1:7" x14ac:dyDescent="0.2">
      <c r="A21" s="79" t="s">
        <v>88</v>
      </c>
      <c r="B21" s="80"/>
      <c r="C21" s="80"/>
      <c r="D21" s="80"/>
      <c r="E21" s="80"/>
      <c r="F21" s="80"/>
      <c r="G21" s="80"/>
    </row>
    <row r="22" spans="1:7" x14ac:dyDescent="0.2">
      <c r="A22" s="2" t="s">
        <v>89</v>
      </c>
      <c r="B22" s="2" t="s">
        <v>90</v>
      </c>
      <c r="C22" s="2" t="s">
        <v>91</v>
      </c>
      <c r="D22" s="2" t="s">
        <v>92</v>
      </c>
      <c r="E22" s="2" t="s">
        <v>93</v>
      </c>
      <c r="F22" s="2" t="s">
        <v>94</v>
      </c>
      <c r="G22" s="2" t="s">
        <v>95</v>
      </c>
    </row>
    <row r="23" spans="1:7" ht="81" x14ac:dyDescent="0.2">
      <c r="A23" s="10" t="s">
        <v>96</v>
      </c>
      <c r="B23" s="7" t="s">
        <v>97</v>
      </c>
      <c r="C23" s="7" t="s">
        <v>98</v>
      </c>
      <c r="D23" s="10" t="s">
        <v>99</v>
      </c>
      <c r="E23" s="7" t="s">
        <v>100</v>
      </c>
      <c r="F23" s="7" t="s">
        <v>101</v>
      </c>
      <c r="G23" s="7" t="s">
        <v>102</v>
      </c>
    </row>
    <row r="24" spans="1:7" ht="108" x14ac:dyDescent="0.2">
      <c r="A24" s="8" t="s">
        <v>103</v>
      </c>
      <c r="B24" s="9" t="s">
        <v>104</v>
      </c>
      <c r="C24" s="9" t="s">
        <v>105</v>
      </c>
      <c r="D24" s="8" t="s">
        <v>106</v>
      </c>
      <c r="E24" s="9" t="s">
        <v>107</v>
      </c>
      <c r="F24" s="9" t="s">
        <v>108</v>
      </c>
      <c r="G24" s="9" t="s">
        <v>109</v>
      </c>
    </row>
    <row r="25" spans="1:7" ht="108" x14ac:dyDescent="0.2">
      <c r="A25" s="10" t="s">
        <v>110</v>
      </c>
      <c r="B25" s="7" t="s">
        <v>111</v>
      </c>
      <c r="C25" s="7" t="s">
        <v>112</v>
      </c>
      <c r="D25" s="10" t="s">
        <v>113</v>
      </c>
      <c r="E25" s="7" t="s">
        <v>114</v>
      </c>
      <c r="F25" s="7" t="s">
        <v>115</v>
      </c>
      <c r="G25" s="7" t="s">
        <v>116</v>
      </c>
    </row>
    <row r="26" spans="1:7" ht="135" x14ac:dyDescent="0.2">
      <c r="A26" s="8" t="s">
        <v>117</v>
      </c>
      <c r="B26" s="9" t="s">
        <v>118</v>
      </c>
      <c r="C26" s="9" t="s">
        <v>119</v>
      </c>
      <c r="D26" s="8" t="s">
        <v>120</v>
      </c>
      <c r="E26" s="9" t="s">
        <v>121</v>
      </c>
      <c r="F26" s="9" t="s">
        <v>122</v>
      </c>
      <c r="G26" s="9" t="s">
        <v>123</v>
      </c>
    </row>
    <row r="27" spans="1:7" ht="81" x14ac:dyDescent="0.2">
      <c r="A27" s="10" t="s">
        <v>124</v>
      </c>
      <c r="B27" s="7" t="s">
        <v>125</v>
      </c>
      <c r="C27" s="7" t="s">
        <v>126</v>
      </c>
      <c r="D27" s="10" t="s">
        <v>127</v>
      </c>
      <c r="E27" s="7" t="s">
        <v>128</v>
      </c>
      <c r="F27" s="7" t="s">
        <v>129</v>
      </c>
      <c r="G27" s="7" t="s">
        <v>130</v>
      </c>
    </row>
    <row r="28" spans="1:7" ht="81" x14ac:dyDescent="0.2">
      <c r="A28" s="8" t="s">
        <v>131</v>
      </c>
      <c r="B28" s="9" t="s">
        <v>132</v>
      </c>
      <c r="C28" s="9" t="s">
        <v>133</v>
      </c>
      <c r="D28" s="8" t="s">
        <v>134</v>
      </c>
      <c r="E28" s="9" t="s">
        <v>135</v>
      </c>
      <c r="F28" s="9" t="s">
        <v>136</v>
      </c>
      <c r="G28" s="9" t="s">
        <v>137</v>
      </c>
    </row>
    <row r="29" spans="1:7" ht="135" x14ac:dyDescent="0.2">
      <c r="A29" s="10" t="s">
        <v>138</v>
      </c>
      <c r="B29" s="7" t="s">
        <v>139</v>
      </c>
      <c r="C29" s="7" t="s">
        <v>140</v>
      </c>
      <c r="D29" s="10" t="s">
        <v>141</v>
      </c>
      <c r="E29" s="7" t="s">
        <v>142</v>
      </c>
      <c r="F29" s="7" t="s">
        <v>143</v>
      </c>
      <c r="G29" s="7" t="s">
        <v>144</v>
      </c>
    </row>
    <row r="31" spans="1:7" x14ac:dyDescent="0.2">
      <c r="A31" s="79" t="s">
        <v>145</v>
      </c>
      <c r="B31" s="80"/>
      <c r="C31" s="80"/>
      <c r="D31" s="80"/>
      <c r="E31" s="80"/>
      <c r="F31" s="80"/>
      <c r="G31" s="80"/>
    </row>
    <row r="32" spans="1:7" x14ac:dyDescent="0.2">
      <c r="A32" s="2" t="s">
        <v>146</v>
      </c>
      <c r="B32" s="2" t="s">
        <v>147</v>
      </c>
      <c r="C32" s="2" t="s">
        <v>148</v>
      </c>
      <c r="D32" s="2" t="s">
        <v>149</v>
      </c>
      <c r="E32" s="2" t="s">
        <v>150</v>
      </c>
      <c r="F32" s="2" t="s">
        <v>151</v>
      </c>
      <c r="G32" s="2" t="s">
        <v>152</v>
      </c>
    </row>
    <row r="33" spans="1:7" ht="108" x14ac:dyDescent="0.2">
      <c r="A33" s="10" t="s">
        <v>153</v>
      </c>
      <c r="B33" s="7" t="s">
        <v>154</v>
      </c>
      <c r="C33" s="7" t="s">
        <v>155</v>
      </c>
      <c r="D33" s="10" t="s">
        <v>156</v>
      </c>
      <c r="E33" s="7" t="s">
        <v>157</v>
      </c>
      <c r="F33" s="7" t="s">
        <v>158</v>
      </c>
      <c r="G33" s="7" t="s">
        <v>159</v>
      </c>
    </row>
    <row r="34" spans="1:7" ht="135" x14ac:dyDescent="0.2">
      <c r="A34" s="8" t="s">
        <v>160</v>
      </c>
      <c r="B34" s="9" t="s">
        <v>161</v>
      </c>
      <c r="C34" s="9" t="s">
        <v>155</v>
      </c>
      <c r="D34" s="8" t="s">
        <v>162</v>
      </c>
      <c r="E34" s="9" t="s">
        <v>163</v>
      </c>
      <c r="F34" s="9" t="s">
        <v>164</v>
      </c>
      <c r="G34" s="9" t="s">
        <v>165</v>
      </c>
    </row>
    <row r="35" spans="1:7" ht="108" x14ac:dyDescent="0.2">
      <c r="A35" s="10" t="s">
        <v>166</v>
      </c>
      <c r="B35" s="7" t="s">
        <v>167</v>
      </c>
      <c r="C35" s="7" t="s">
        <v>168</v>
      </c>
      <c r="D35" s="10" t="s">
        <v>169</v>
      </c>
      <c r="E35" s="7" t="s">
        <v>170</v>
      </c>
      <c r="F35" s="7" t="s">
        <v>171</v>
      </c>
      <c r="G35" s="7" t="s">
        <v>172</v>
      </c>
    </row>
    <row r="36" spans="1:7" ht="135" x14ac:dyDescent="0.2">
      <c r="A36" s="8" t="s">
        <v>173</v>
      </c>
      <c r="B36" s="9" t="s">
        <v>174</v>
      </c>
      <c r="C36" s="9" t="s">
        <v>175</v>
      </c>
      <c r="D36" s="8" t="s">
        <v>176</v>
      </c>
      <c r="E36" s="9" t="s">
        <v>177</v>
      </c>
      <c r="F36" s="9" t="s">
        <v>178</v>
      </c>
      <c r="G36" s="9" t="s">
        <v>179</v>
      </c>
    </row>
    <row r="37" spans="1:7" ht="108" x14ac:dyDescent="0.2">
      <c r="A37" s="10" t="s">
        <v>180</v>
      </c>
      <c r="B37" s="7" t="s">
        <v>181</v>
      </c>
      <c r="C37" s="7" t="s">
        <v>182</v>
      </c>
      <c r="D37" s="10" t="s">
        <v>183</v>
      </c>
      <c r="E37" s="7" t="s">
        <v>184</v>
      </c>
      <c r="F37" s="7" t="s">
        <v>185</v>
      </c>
      <c r="G37" s="7" t="s">
        <v>186</v>
      </c>
    </row>
    <row r="38" spans="1:7" ht="108" x14ac:dyDescent="0.2">
      <c r="A38" s="8" t="s">
        <v>187</v>
      </c>
      <c r="B38" s="9" t="s">
        <v>188</v>
      </c>
      <c r="C38" s="9" t="s">
        <v>189</v>
      </c>
      <c r="D38" s="8" t="s">
        <v>190</v>
      </c>
      <c r="E38" s="9" t="s">
        <v>191</v>
      </c>
      <c r="F38" s="9" t="s">
        <v>192</v>
      </c>
      <c r="G38" s="9" t="s">
        <v>193</v>
      </c>
    </row>
    <row r="39" spans="1:7" ht="108" x14ac:dyDescent="0.2">
      <c r="A39" s="10" t="s">
        <v>194</v>
      </c>
      <c r="B39" s="7" t="s">
        <v>195</v>
      </c>
      <c r="C39" s="7" t="s">
        <v>196</v>
      </c>
      <c r="D39" s="10" t="s">
        <v>197</v>
      </c>
      <c r="E39" s="7" t="s">
        <v>191</v>
      </c>
      <c r="F39" s="7" t="s">
        <v>198</v>
      </c>
      <c r="G39" s="7" t="s">
        <v>199</v>
      </c>
    </row>
    <row r="40" spans="1:7" ht="108" x14ac:dyDescent="0.2">
      <c r="A40" s="8" t="s">
        <v>200</v>
      </c>
      <c r="B40" s="9" t="s">
        <v>201</v>
      </c>
      <c r="C40" s="9" t="s">
        <v>202</v>
      </c>
      <c r="D40" s="8" t="s">
        <v>203</v>
      </c>
      <c r="E40" s="9" t="s">
        <v>204</v>
      </c>
      <c r="F40" s="9" t="s">
        <v>205</v>
      </c>
      <c r="G40" s="9" t="s">
        <v>206</v>
      </c>
    </row>
    <row r="41" spans="1:7" ht="108" x14ac:dyDescent="0.2">
      <c r="A41" s="10" t="s">
        <v>207</v>
      </c>
      <c r="B41" s="7" t="s">
        <v>208</v>
      </c>
      <c r="C41" s="7" t="s">
        <v>209</v>
      </c>
      <c r="D41" s="10" t="s">
        <v>210</v>
      </c>
      <c r="E41" s="7" t="s">
        <v>211</v>
      </c>
      <c r="F41" s="7" t="s">
        <v>212</v>
      </c>
      <c r="G41" s="7" t="s">
        <v>213</v>
      </c>
    </row>
  </sheetData>
  <mergeCells count="6">
    <mergeCell ref="A31:G31"/>
    <mergeCell ref="A1:G2"/>
    <mergeCell ref="A3:G3"/>
    <mergeCell ref="A5:G5"/>
    <mergeCell ref="A15:G15"/>
    <mergeCell ref="A21:G21"/>
  </mergeCells>
  <pageMargins left="0.7" right="0.7" top="0.75" bottom="0.75" header="0.3" footer="0.3"/>
  <pageSetup orientation="portrait"/>
  <headerFooter>
    <oddHeader>&amp;L&amp;C&amp;R</oddHeader>
    <oddFooter>&amp;L&amp;C&amp;R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6B658-0A36-5408-0347-515808E5C6F8}">
  <dimension ref="A1:I35"/>
  <sheetViews>
    <sheetView topLeftCell="A24" workbookViewId="0">
      <selection activeCell="A30" sqref="A30:I35"/>
    </sheetView>
  </sheetViews>
  <sheetFormatPr baseColWidth="10" defaultColWidth="8.83203125" defaultRowHeight="26" x14ac:dyDescent="0.2"/>
  <cols>
    <col min="1" max="1" width="34.33203125" style="15" customWidth="1"/>
    <col min="2" max="2" width="20" style="15" customWidth="1"/>
    <col min="3" max="3" width="30" style="15" customWidth="1"/>
    <col min="4" max="4" width="37.1640625" style="15" customWidth="1"/>
    <col min="5" max="5" width="8" style="15" customWidth="1"/>
    <col min="6" max="6" width="34.33203125" style="15" customWidth="1"/>
    <col min="7" max="7" width="20" style="15" customWidth="1"/>
    <col min="8" max="8" width="30" style="15" customWidth="1"/>
    <col min="9" max="9" width="37.1640625" style="15" customWidth="1"/>
    <col min="10" max="16384" width="8.83203125" style="15"/>
  </cols>
  <sheetData>
    <row r="1" spans="1:9" x14ac:dyDescent="0.2">
      <c r="A1" s="87" t="s">
        <v>214</v>
      </c>
      <c r="B1" s="86"/>
      <c r="C1" s="86"/>
      <c r="D1" s="86"/>
      <c r="E1" s="86"/>
      <c r="F1" s="86"/>
      <c r="G1" s="86"/>
      <c r="H1" s="86"/>
      <c r="I1" s="86"/>
    </row>
    <row r="2" spans="1:9" x14ac:dyDescent="0.2">
      <c r="A2" s="86"/>
      <c r="B2" s="86"/>
      <c r="C2" s="86"/>
      <c r="D2" s="86"/>
      <c r="E2" s="86"/>
      <c r="F2" s="86"/>
      <c r="G2" s="86"/>
      <c r="H2" s="86"/>
      <c r="I2" s="86"/>
    </row>
    <row r="3" spans="1:9" ht="28" x14ac:dyDescent="0.2">
      <c r="A3" s="88" t="s">
        <v>215</v>
      </c>
      <c r="B3" s="86"/>
      <c r="C3" s="86"/>
      <c r="D3" s="86"/>
      <c r="E3" s="86"/>
      <c r="F3" s="86"/>
      <c r="G3" s="86"/>
      <c r="H3" s="86"/>
      <c r="I3" s="86"/>
    </row>
    <row r="5" spans="1:9" ht="28" x14ac:dyDescent="0.2">
      <c r="A5" s="85" t="s">
        <v>216</v>
      </c>
      <c r="B5" s="86"/>
      <c r="C5" s="86"/>
      <c r="D5" s="86"/>
      <c r="F5" s="85" t="s">
        <v>217</v>
      </c>
      <c r="G5" s="86"/>
      <c r="H5" s="86"/>
      <c r="I5" s="86"/>
    </row>
    <row r="6" spans="1:9" ht="28" x14ac:dyDescent="0.2">
      <c r="A6" s="16" t="s">
        <v>218</v>
      </c>
      <c r="B6" s="16" t="s">
        <v>219</v>
      </c>
      <c r="C6" s="16" t="s">
        <v>220</v>
      </c>
      <c r="D6" s="16" t="s">
        <v>221</v>
      </c>
      <c r="F6" s="16" t="s">
        <v>218</v>
      </c>
      <c r="G6" s="16" t="s">
        <v>219</v>
      </c>
      <c r="H6" s="16" t="s">
        <v>220</v>
      </c>
      <c r="I6" s="16" t="s">
        <v>221</v>
      </c>
    </row>
    <row r="7" spans="1:9" ht="87" x14ac:dyDescent="0.2">
      <c r="A7" s="17" t="s">
        <v>222</v>
      </c>
      <c r="B7" s="18">
        <v>1000</v>
      </c>
      <c r="C7" s="19" t="s">
        <v>223</v>
      </c>
      <c r="D7" s="19" t="s">
        <v>224</v>
      </c>
      <c r="E7" s="20"/>
      <c r="F7" s="17" t="s">
        <v>225</v>
      </c>
      <c r="G7" s="18">
        <v>1060</v>
      </c>
      <c r="H7" s="19" t="s">
        <v>226</v>
      </c>
      <c r="I7" s="19" t="s">
        <v>227</v>
      </c>
    </row>
    <row r="8" spans="1:9" ht="58" x14ac:dyDescent="0.2">
      <c r="A8" s="17" t="s">
        <v>228</v>
      </c>
      <c r="B8" s="21">
        <v>5.5E-2</v>
      </c>
      <c r="C8" s="19" t="s">
        <v>229</v>
      </c>
      <c r="D8" s="19" t="s">
        <v>230</v>
      </c>
      <c r="E8" s="20"/>
      <c r="F8" s="17" t="s">
        <v>222</v>
      </c>
      <c r="G8" s="18">
        <v>1000</v>
      </c>
      <c r="H8" s="19" t="s">
        <v>231</v>
      </c>
      <c r="I8" s="19" t="s">
        <v>232</v>
      </c>
    </row>
    <row r="9" spans="1:9" ht="87" x14ac:dyDescent="0.2">
      <c r="A9" s="17" t="s">
        <v>233</v>
      </c>
      <c r="B9" s="22">
        <v>2</v>
      </c>
      <c r="C9" s="19" t="s">
        <v>234</v>
      </c>
      <c r="D9" s="19" t="s">
        <v>235</v>
      </c>
      <c r="E9" s="20"/>
      <c r="F9" s="17" t="s">
        <v>228</v>
      </c>
      <c r="G9" s="21">
        <v>0.06</v>
      </c>
      <c r="H9" s="19" t="s">
        <v>236</v>
      </c>
      <c r="I9" s="19" t="s">
        <v>237</v>
      </c>
    </row>
    <row r="10" spans="1:9" ht="58" x14ac:dyDescent="0.2">
      <c r="A10" s="17" t="s">
        <v>238</v>
      </c>
      <c r="B10" s="23">
        <v>10</v>
      </c>
      <c r="C10" s="19" t="s">
        <v>239</v>
      </c>
      <c r="D10" s="19" t="s">
        <v>240</v>
      </c>
      <c r="E10" s="20"/>
      <c r="F10" s="17" t="s">
        <v>24</v>
      </c>
      <c r="G10" s="22">
        <v>2</v>
      </c>
      <c r="H10" s="19" t="s">
        <v>241</v>
      </c>
      <c r="I10" s="19" t="s">
        <v>242</v>
      </c>
    </row>
    <row r="11" spans="1:9" ht="58" x14ac:dyDescent="0.2">
      <c r="A11" s="17" t="s">
        <v>243</v>
      </c>
      <c r="B11" s="21">
        <v>4.7500000000000001E-2</v>
      </c>
      <c r="C11" s="19" t="s">
        <v>244</v>
      </c>
      <c r="D11" s="19" t="s">
        <v>245</v>
      </c>
      <c r="E11" s="20"/>
      <c r="F11" s="17" t="s">
        <v>238</v>
      </c>
      <c r="G11" s="23">
        <v>10</v>
      </c>
      <c r="H11" s="19" t="s">
        <v>246</v>
      </c>
      <c r="I11" s="19" t="s">
        <v>247</v>
      </c>
    </row>
    <row r="12" spans="1:9" ht="58" x14ac:dyDescent="0.2">
      <c r="A12" s="17" t="s">
        <v>248</v>
      </c>
      <c r="B12" s="24">
        <f>B7*(B8/B9)</f>
        <v>27.5</v>
      </c>
      <c r="C12" s="19" t="e">
        <f>Face*(Coupon/Freq)</f>
        <v>#NAME?</v>
      </c>
      <c r="D12" s="19" t="s">
        <v>249</v>
      </c>
      <c r="E12" s="20"/>
      <c r="F12" s="17" t="s">
        <v>250</v>
      </c>
      <c r="G12" s="23">
        <v>5</v>
      </c>
      <c r="H12" s="19" t="s">
        <v>251</v>
      </c>
      <c r="I12" s="19" t="s">
        <v>252</v>
      </c>
    </row>
    <row r="13" spans="1:9" ht="58" x14ac:dyDescent="0.2">
      <c r="A13" s="17" t="s">
        <v>253</v>
      </c>
      <c r="B13" s="25">
        <f>B10*B9</f>
        <v>20</v>
      </c>
      <c r="C13" s="19" t="e">
        <f>Years*Frequency</f>
        <v>#NAME?</v>
      </c>
      <c r="D13" s="19" t="s">
        <v>254</v>
      </c>
      <c r="E13" s="20"/>
      <c r="F13" s="17" t="s">
        <v>255</v>
      </c>
      <c r="G13" s="18">
        <v>1030</v>
      </c>
      <c r="H13" s="19" t="s">
        <v>256</v>
      </c>
      <c r="I13" s="19" t="s">
        <v>257</v>
      </c>
    </row>
    <row r="14" spans="1:9" ht="58" x14ac:dyDescent="0.2">
      <c r="A14" s="17" t="s">
        <v>258</v>
      </c>
      <c r="B14" s="24">
        <f>-PV(B11/B9,B13,B12,B7)</f>
        <v>1059.1555927216284</v>
      </c>
      <c r="C14" s="19" t="e">
        <f>-PV(YTM/m,n,PMT,FV)</f>
        <v>#NAME?</v>
      </c>
      <c r="D14" s="19" t="s">
        <v>259</v>
      </c>
      <c r="E14" s="20"/>
      <c r="F14" s="17" t="s">
        <v>260</v>
      </c>
      <c r="G14" s="26">
        <f>RATE(G11*G10,G8*(G9/G10),-G7,G8)*G10</f>
        <v>5.2221352604683094E-2</v>
      </c>
      <c r="H14" s="19" t="e">
        <f>RATE(n_mat,PMT,-P,FV)*m</f>
        <v>#NAME?</v>
      </c>
      <c r="I14" s="19" t="s">
        <v>261</v>
      </c>
    </row>
    <row r="15" spans="1:9" ht="58" x14ac:dyDescent="0.2">
      <c r="A15" s="17" t="s">
        <v>262</v>
      </c>
      <c r="B15" s="26">
        <f>(B7*B8)/B14</f>
        <v>5.1928158976785314E-2</v>
      </c>
      <c r="C15" s="19" t="e">
        <f>(Face*Coupon)/Price</f>
        <v>#NAME?</v>
      </c>
      <c r="D15" s="19" t="s">
        <v>263</v>
      </c>
      <c r="E15" s="20"/>
      <c r="F15" s="17" t="s">
        <v>264</v>
      </c>
      <c r="G15" s="26">
        <f>RATE(G12*G10,G8*(G9/G10),-G7,G13)*G10</f>
        <v>5.1569557785120214E-2</v>
      </c>
      <c r="H15" s="19" t="e">
        <f>RATE(n_call,PMT,-P,CallP)*m</f>
        <v>#NAME?</v>
      </c>
      <c r="I15" s="19" t="s">
        <v>265</v>
      </c>
    </row>
    <row r="16" spans="1:9" ht="87" x14ac:dyDescent="0.2">
      <c r="A16" s="17" t="s">
        <v>266</v>
      </c>
      <c r="B16" s="27" t="str">
        <f>IF(B14&gt;B7*1.001,"Premium Bond",IF(B14&lt;B7*0.999,"Discount Bond","Par Bond"))</f>
        <v>Premium Bond</v>
      </c>
      <c r="C16" s="19"/>
      <c r="D16" s="19" t="s">
        <v>267</v>
      </c>
      <c r="E16" s="20"/>
      <c r="F16" s="17" t="s">
        <v>268</v>
      </c>
      <c r="G16" s="26">
        <f>MIN(G14,G15)</f>
        <v>5.1569557785120214E-2</v>
      </c>
      <c r="H16" s="19" t="e">
        <f>MIN(YTM,YTC)</f>
        <v>#NAME?</v>
      </c>
      <c r="I16" s="19" t="s">
        <v>269</v>
      </c>
    </row>
    <row r="17" spans="1:9" ht="116" x14ac:dyDescent="0.2">
      <c r="A17" s="17" t="s">
        <v>270</v>
      </c>
      <c r="B17" s="24">
        <f>B7-B14</f>
        <v>-59.155592721628409</v>
      </c>
      <c r="C17" s="19" t="e">
        <f>Face-Current Price</f>
        <v>#NAME?</v>
      </c>
      <c r="D17" s="19" t="s">
        <v>271</v>
      </c>
      <c r="E17" s="20"/>
      <c r="F17" s="17" t="s">
        <v>272</v>
      </c>
      <c r="G17" s="27" t="str">
        <f>IF(G15&lt;G14,"Call Expected (YTC Governs)","Hold to Maturity (YTM Governs)")</f>
        <v>Call Expected (YTC Governs)</v>
      </c>
      <c r="H17" s="19" t="e">
        <f>IF(YTC&lt;YTM,Call,Hold)</f>
        <v>#NAME?</v>
      </c>
      <c r="I17" s="19" t="s">
        <v>273</v>
      </c>
    </row>
    <row r="19" spans="1:9" ht="28" x14ac:dyDescent="0.2">
      <c r="A19" s="85" t="s">
        <v>274</v>
      </c>
      <c r="B19" s="86"/>
      <c r="C19" s="86"/>
      <c r="D19" s="86"/>
      <c r="F19" s="85" t="s">
        <v>275</v>
      </c>
      <c r="G19" s="86"/>
      <c r="H19" s="86"/>
      <c r="I19" s="86"/>
    </row>
    <row r="20" spans="1:9" ht="28" x14ac:dyDescent="0.2">
      <c r="A20" s="16" t="s">
        <v>276</v>
      </c>
      <c r="B20" s="16" t="s">
        <v>219</v>
      </c>
      <c r="C20" s="16" t="s">
        <v>277</v>
      </c>
      <c r="D20" s="16" t="s">
        <v>278</v>
      </c>
      <c r="F20" s="16" t="s">
        <v>276</v>
      </c>
      <c r="G20" s="16" t="s">
        <v>219</v>
      </c>
      <c r="H20" s="16" t="s">
        <v>277</v>
      </c>
      <c r="I20" s="16" t="s">
        <v>278</v>
      </c>
    </row>
    <row r="21" spans="1:9" ht="58" x14ac:dyDescent="0.2">
      <c r="A21" s="17" t="s">
        <v>279</v>
      </c>
      <c r="B21" s="18">
        <v>1000</v>
      </c>
      <c r="C21" s="19" t="s">
        <v>280</v>
      </c>
      <c r="D21" s="19" t="s">
        <v>281</v>
      </c>
      <c r="E21" s="20"/>
      <c r="F21" s="17" t="s">
        <v>282</v>
      </c>
      <c r="G21" s="21">
        <v>3.7999999999999999E-2</v>
      </c>
      <c r="H21" s="19" t="s">
        <v>283</v>
      </c>
      <c r="I21" s="19" t="s">
        <v>284</v>
      </c>
    </row>
    <row r="22" spans="1:9" ht="58" x14ac:dyDescent="0.2">
      <c r="A22" s="17" t="s">
        <v>238</v>
      </c>
      <c r="B22" s="23">
        <v>10</v>
      </c>
      <c r="C22" s="19" t="s">
        <v>239</v>
      </c>
      <c r="D22" s="19" t="s">
        <v>285</v>
      </c>
      <c r="E22" s="20"/>
      <c r="F22" s="17" t="s">
        <v>286</v>
      </c>
      <c r="G22" s="21">
        <v>0.35</v>
      </c>
      <c r="H22" s="19" t="s">
        <v>287</v>
      </c>
      <c r="I22" s="19" t="s">
        <v>288</v>
      </c>
    </row>
    <row r="23" spans="1:9" ht="58" x14ac:dyDescent="0.2">
      <c r="A23" s="17" t="s">
        <v>289</v>
      </c>
      <c r="B23" s="22">
        <v>2</v>
      </c>
      <c r="C23" s="19" t="s">
        <v>290</v>
      </c>
      <c r="D23" s="19" t="s">
        <v>291</v>
      </c>
      <c r="E23" s="20"/>
      <c r="F23" s="17" t="s">
        <v>292</v>
      </c>
      <c r="G23" s="21">
        <v>0.05</v>
      </c>
      <c r="H23" s="19" t="s">
        <v>293</v>
      </c>
      <c r="I23" s="19" t="s">
        <v>294</v>
      </c>
    </row>
    <row r="24" spans="1:9" ht="87" x14ac:dyDescent="0.2">
      <c r="A24" s="17" t="s">
        <v>295</v>
      </c>
      <c r="B24" s="21">
        <v>0.05</v>
      </c>
      <c r="C24" s="19" t="s">
        <v>296</v>
      </c>
      <c r="D24" s="19" t="s">
        <v>297</v>
      </c>
      <c r="E24" s="20"/>
      <c r="F24" s="17" t="s">
        <v>298</v>
      </c>
      <c r="G24" s="26">
        <f>G22+G23*(1-G22)</f>
        <v>0.38249999999999995</v>
      </c>
      <c r="H24" s="19" t="e">
        <f>Fed+State*(1-Fed)</f>
        <v>#NAME?</v>
      </c>
      <c r="I24" s="19" t="s">
        <v>299</v>
      </c>
    </row>
    <row r="25" spans="1:9" ht="87" x14ac:dyDescent="0.2">
      <c r="A25" s="17" t="s">
        <v>300</v>
      </c>
      <c r="B25" s="24">
        <f>B21/(1+(B24/B23))^(B22*B23)</f>
        <v>610.27094285883038</v>
      </c>
      <c r="C25" s="19" t="e">
        <f>Face/(1+YTM/m)^(n*m)</f>
        <v>#NAME?</v>
      </c>
      <c r="D25" s="19" t="s">
        <v>301</v>
      </c>
      <c r="E25" s="20"/>
      <c r="F25" s="17" t="s">
        <v>302</v>
      </c>
      <c r="G25" s="26">
        <f>G21/(1-G22)</f>
        <v>5.8461538461538461E-2</v>
      </c>
      <c r="H25" s="19" t="e">
        <f>MuniYield/(1-FedTax)</f>
        <v>#NAME?</v>
      </c>
      <c r="I25" s="19" t="s">
        <v>303</v>
      </c>
    </row>
    <row r="26" spans="1:9" ht="58" x14ac:dyDescent="0.2">
      <c r="A26" s="17" t="s">
        <v>304</v>
      </c>
      <c r="B26" s="24">
        <f>B21-B25</f>
        <v>389.72905714116962</v>
      </c>
      <c r="C26" s="19" t="e">
        <f>Face-Price</f>
        <v>#NAME?</v>
      </c>
      <c r="D26" s="19" t="s">
        <v>305</v>
      </c>
      <c r="E26" s="20"/>
      <c r="F26" s="17" t="s">
        <v>306</v>
      </c>
      <c r="G26" s="26">
        <f>G21/(1-G24)</f>
        <v>6.1538461538461535E-2</v>
      </c>
      <c r="H26" s="19" t="e">
        <f>MuniYield/(1-CombTax)</f>
        <v>#NAME?</v>
      </c>
      <c r="I26" s="19" t="s">
        <v>307</v>
      </c>
    </row>
    <row r="27" spans="1:9" ht="58" x14ac:dyDescent="0.2">
      <c r="A27" s="17" t="s">
        <v>308</v>
      </c>
      <c r="B27" s="26">
        <f>(B21/B25)^(1/B22)-1</f>
        <v>5.062499999999992E-2</v>
      </c>
      <c r="C27" s="19" t="e">
        <f>(Face/Price)^(1/Years)-1</f>
        <v>#NAME?</v>
      </c>
      <c r="D27" s="19" t="s">
        <v>309</v>
      </c>
      <c r="E27" s="20"/>
      <c r="F27" s="17" t="s">
        <v>310</v>
      </c>
      <c r="G27" s="25">
        <f>(G26-G21)*10000</f>
        <v>235.38461538461536</v>
      </c>
      <c r="H27" s="19" t="e">
        <f>(Combined TEY-Muni)*10000</f>
        <v>#NAME?</v>
      </c>
      <c r="I27" s="19" t="s">
        <v>311</v>
      </c>
    </row>
    <row r="28" spans="1:9" ht="28" x14ac:dyDescent="0.2">
      <c r="A28" s="85" t="s">
        <v>312</v>
      </c>
      <c r="B28" s="86"/>
      <c r="C28" s="86"/>
      <c r="D28" s="86"/>
      <c r="E28" s="86"/>
      <c r="F28" s="86"/>
      <c r="G28" s="86"/>
      <c r="H28" s="86"/>
      <c r="I28" s="86"/>
    </row>
    <row r="29" spans="1:9" ht="28" x14ac:dyDescent="0.2">
      <c r="A29" s="16" t="s">
        <v>313</v>
      </c>
      <c r="B29" s="16" t="s">
        <v>314</v>
      </c>
      <c r="C29" s="16" t="s">
        <v>315</v>
      </c>
      <c r="D29" s="16" t="s">
        <v>316</v>
      </c>
      <c r="E29" s="16" t="s">
        <v>317</v>
      </c>
      <c r="F29" s="16" t="s">
        <v>318</v>
      </c>
      <c r="G29" s="16" t="s">
        <v>319</v>
      </c>
      <c r="H29" s="16" t="s">
        <v>320</v>
      </c>
      <c r="I29" s="16" t="s">
        <v>262</v>
      </c>
    </row>
    <row r="30" spans="1:9" ht="58" x14ac:dyDescent="0.2">
      <c r="A30" s="17" t="s">
        <v>321</v>
      </c>
      <c r="B30" s="17" t="s">
        <v>322</v>
      </c>
      <c r="C30" s="18">
        <v>1000</v>
      </c>
      <c r="D30" s="21">
        <v>4.2500000000000003E-2</v>
      </c>
      <c r="E30" s="22">
        <v>2</v>
      </c>
      <c r="F30" s="23">
        <v>10</v>
      </c>
      <c r="G30" s="21">
        <v>4.2500000000000003E-2</v>
      </c>
      <c r="H30" s="24">
        <f t="shared" ref="H30:H34" si="0">-PV(G30/E30,F30*E30,C30*(D30/E30),C30)</f>
        <v>1000</v>
      </c>
      <c r="I30" s="26">
        <f t="shared" ref="I30:I34" si="1">(C30*D30)/H30</f>
        <v>4.2500000000000003E-2</v>
      </c>
    </row>
    <row r="31" spans="1:9" ht="58" x14ac:dyDescent="0.2">
      <c r="A31" s="17" t="s">
        <v>323</v>
      </c>
      <c r="B31" s="17" t="s">
        <v>322</v>
      </c>
      <c r="C31" s="18">
        <v>1000</v>
      </c>
      <c r="D31" s="21">
        <v>3.875E-2</v>
      </c>
      <c r="E31" s="22">
        <v>2</v>
      </c>
      <c r="F31" s="23">
        <v>30</v>
      </c>
      <c r="G31" s="21">
        <v>4.4999999999999998E-2</v>
      </c>
      <c r="H31" s="24">
        <f t="shared" si="0"/>
        <v>897.65952234181975</v>
      </c>
      <c r="I31" s="26">
        <f t="shared" si="1"/>
        <v>4.3167814784506223E-2</v>
      </c>
    </row>
    <row r="32" spans="1:9" ht="87" x14ac:dyDescent="0.2">
      <c r="A32" s="17" t="s">
        <v>324</v>
      </c>
      <c r="B32" s="17" t="s">
        <v>325</v>
      </c>
      <c r="C32" s="18">
        <v>1000</v>
      </c>
      <c r="D32" s="21">
        <v>4.8500000000000001E-2</v>
      </c>
      <c r="E32" s="22">
        <v>2</v>
      </c>
      <c r="F32" s="23">
        <v>7</v>
      </c>
      <c r="G32" s="21">
        <v>4.5999999999999999E-2</v>
      </c>
      <c r="H32" s="24">
        <f t="shared" si="0"/>
        <v>1014.8181455083943</v>
      </c>
      <c r="I32" s="26">
        <f t="shared" si="1"/>
        <v>4.7791813946825829E-2</v>
      </c>
    </row>
    <row r="33" spans="1:9" ht="58" x14ac:dyDescent="0.2">
      <c r="A33" s="17" t="s">
        <v>326</v>
      </c>
      <c r="B33" s="17" t="s">
        <v>327</v>
      </c>
      <c r="C33" s="18">
        <v>1000</v>
      </c>
      <c r="D33" s="21">
        <v>7.4999999999999997E-2</v>
      </c>
      <c r="E33" s="22">
        <v>2</v>
      </c>
      <c r="F33" s="23">
        <v>5</v>
      </c>
      <c r="G33" s="21">
        <v>6.8000000000000005E-2</v>
      </c>
      <c r="H33" s="24">
        <f t="shared" si="0"/>
        <v>1029.2553872017343</v>
      </c>
      <c r="I33" s="26">
        <f t="shared" si="1"/>
        <v>7.286821223632807E-2</v>
      </c>
    </row>
    <row r="34" spans="1:9" ht="58" x14ac:dyDescent="0.2">
      <c r="A34" s="17" t="s">
        <v>328</v>
      </c>
      <c r="B34" s="17" t="s">
        <v>329</v>
      </c>
      <c r="C34" s="18">
        <v>1000</v>
      </c>
      <c r="D34" s="21">
        <v>0.04</v>
      </c>
      <c r="E34" s="22">
        <v>2</v>
      </c>
      <c r="F34" s="23">
        <v>15</v>
      </c>
      <c r="G34" s="21">
        <v>3.7499999999999999E-2</v>
      </c>
      <c r="H34" s="24">
        <f t="shared" si="0"/>
        <v>1028.482783853631</v>
      </c>
      <c r="I34" s="26">
        <f t="shared" si="1"/>
        <v>3.8892240714155327E-2</v>
      </c>
    </row>
    <row r="35" spans="1:9" ht="58" x14ac:dyDescent="0.2">
      <c r="A35" s="28" t="s">
        <v>330</v>
      </c>
      <c r="B35" s="28" t="s">
        <v>331</v>
      </c>
      <c r="C35" s="29">
        <f t="shared" ref="C35:I35" si="2">AVERAGE(C30:C34)</f>
        <v>1000</v>
      </c>
      <c r="D35" s="30">
        <f t="shared" si="2"/>
        <v>4.895E-2</v>
      </c>
      <c r="E35" s="31">
        <f t="shared" si="2"/>
        <v>2</v>
      </c>
      <c r="F35" s="32">
        <f t="shared" si="2"/>
        <v>13.4</v>
      </c>
      <c r="G35" s="30">
        <f t="shared" si="2"/>
        <v>4.7800000000000002E-2</v>
      </c>
      <c r="H35" s="29">
        <f t="shared" si="2"/>
        <v>994.04316778111593</v>
      </c>
      <c r="I35" s="30">
        <f t="shared" si="2"/>
        <v>4.9044016336363086E-2</v>
      </c>
    </row>
  </sheetData>
  <mergeCells count="7">
    <mergeCell ref="A28:I28"/>
    <mergeCell ref="A1:I2"/>
    <mergeCell ref="A3:I3"/>
    <mergeCell ref="A5:D5"/>
    <mergeCell ref="F5:I5"/>
    <mergeCell ref="A19:D19"/>
    <mergeCell ref="F19:I19"/>
  </mergeCells>
  <pageMargins left="0.7" right="0.7" top="0.75" bottom="0.75" header="0.3" footer="0.3"/>
  <pageSetup orientation="portrait"/>
  <headerFooter>
    <oddHeader>&amp;L&amp;C&amp;R</oddHeader>
    <oddFooter>&amp;L&amp;C&amp;R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9A398-D8C8-B93C-8193-A9A297DB09B8}">
  <dimension ref="A1:I56"/>
  <sheetViews>
    <sheetView topLeftCell="A15" workbookViewId="0">
      <selection activeCell="D16" sqref="D16"/>
    </sheetView>
  </sheetViews>
  <sheetFormatPr baseColWidth="10" defaultColWidth="8.83203125" defaultRowHeight="26" x14ac:dyDescent="0.2"/>
  <cols>
    <col min="1" max="1" width="81.6640625" style="1" customWidth="1"/>
    <col min="2" max="2" width="19.5" style="1" customWidth="1"/>
    <col min="3" max="3" width="18.1640625" style="1" customWidth="1"/>
    <col min="4" max="4" width="21.1640625" style="1" customWidth="1"/>
    <col min="5" max="5" width="17.5" style="1" customWidth="1"/>
    <col min="6" max="6" width="38.1640625" style="1" customWidth="1"/>
    <col min="7" max="7" width="45.6640625" style="1" customWidth="1"/>
    <col min="8" max="8" width="36.6640625" style="1" customWidth="1"/>
    <col min="9" max="12" width="38.33203125" style="1" customWidth="1"/>
    <col min="13" max="16384" width="8.83203125" style="1"/>
  </cols>
  <sheetData>
    <row r="1" spans="1:9" x14ac:dyDescent="0.2">
      <c r="A1" s="90" t="s">
        <v>332</v>
      </c>
      <c r="B1" s="80"/>
      <c r="C1" s="80"/>
      <c r="D1" s="80"/>
      <c r="E1" s="80"/>
      <c r="F1" s="80"/>
      <c r="G1" s="80"/>
      <c r="H1" s="80"/>
      <c r="I1" s="80"/>
    </row>
    <row r="2" spans="1:9" x14ac:dyDescent="0.2">
      <c r="A2" s="80"/>
      <c r="B2" s="80"/>
      <c r="C2" s="80"/>
      <c r="D2" s="80"/>
      <c r="E2" s="80"/>
      <c r="F2" s="80"/>
      <c r="G2" s="80"/>
      <c r="H2" s="80"/>
      <c r="I2" s="80"/>
    </row>
    <row r="3" spans="1:9" x14ac:dyDescent="0.2">
      <c r="A3" s="91" t="s">
        <v>333</v>
      </c>
      <c r="B3" s="80"/>
      <c r="C3" s="80"/>
      <c r="D3" s="80"/>
      <c r="E3" s="80"/>
      <c r="F3" s="80"/>
      <c r="G3" s="80"/>
      <c r="H3" s="80"/>
      <c r="I3" s="80"/>
    </row>
    <row r="5" spans="1:9" x14ac:dyDescent="0.2">
      <c r="A5" s="89" t="s">
        <v>334</v>
      </c>
      <c r="B5" s="80"/>
      <c r="C5" s="80"/>
      <c r="D5" s="80"/>
      <c r="F5" s="89" t="s">
        <v>335</v>
      </c>
      <c r="G5" s="80"/>
      <c r="H5" s="80"/>
      <c r="I5" s="80"/>
    </row>
    <row r="6" spans="1:9" ht="54" x14ac:dyDescent="0.2">
      <c r="A6" s="43" t="s">
        <v>315</v>
      </c>
      <c r="B6" s="44">
        <v>1000</v>
      </c>
      <c r="F6" s="43" t="s">
        <v>336</v>
      </c>
      <c r="G6" s="47">
        <v>7.99</v>
      </c>
    </row>
    <row r="7" spans="1:9" ht="54" x14ac:dyDescent="0.2">
      <c r="A7" s="43" t="s">
        <v>228</v>
      </c>
      <c r="B7" s="45">
        <v>0.05</v>
      </c>
      <c r="F7" s="43" t="s">
        <v>337</v>
      </c>
      <c r="G7" s="47">
        <v>7.79</v>
      </c>
    </row>
    <row r="8" spans="1:9" ht="27" x14ac:dyDescent="0.2">
      <c r="A8" s="43" t="s">
        <v>233</v>
      </c>
      <c r="B8" s="46">
        <v>2</v>
      </c>
      <c r="F8" s="43" t="s">
        <v>338</v>
      </c>
      <c r="G8" s="47">
        <v>76.45</v>
      </c>
    </row>
    <row r="9" spans="1:9" ht="54" x14ac:dyDescent="0.2">
      <c r="A9" s="43" t="s">
        <v>238</v>
      </c>
      <c r="B9" s="46">
        <v>10</v>
      </c>
      <c r="F9" s="43" t="s">
        <v>339</v>
      </c>
      <c r="G9" s="48">
        <f>G7*B11*0.0001</f>
        <v>0.77900000000000003</v>
      </c>
    </row>
    <row r="10" spans="1:9" ht="54" x14ac:dyDescent="0.2">
      <c r="A10" s="43" t="s">
        <v>340</v>
      </c>
      <c r="B10" s="45">
        <v>0.05</v>
      </c>
      <c r="F10" s="43" t="s">
        <v>341</v>
      </c>
      <c r="G10" s="44">
        <f>-G7*0.01*B11</f>
        <v>-77.899999999999991</v>
      </c>
    </row>
    <row r="11" spans="1:9" ht="54" x14ac:dyDescent="0.2">
      <c r="A11" s="43" t="s">
        <v>342</v>
      </c>
      <c r="B11" s="44">
        <f>-PV(B10/B8,B9*B8,B6*(B7/B8),B6)</f>
        <v>1000</v>
      </c>
      <c r="F11" s="43" t="s">
        <v>343</v>
      </c>
      <c r="G11" s="44">
        <f>B11*(-G7*0.01+0.5*G8*(0.01^2))</f>
        <v>-74.077499999999986</v>
      </c>
    </row>
    <row r="12" spans="1:9" ht="54" x14ac:dyDescent="0.2">
      <c r="A12" s="43" t="s">
        <v>337</v>
      </c>
      <c r="B12" s="47">
        <f>G7</f>
        <v>7.79</v>
      </c>
      <c r="F12" s="43" t="s">
        <v>344</v>
      </c>
      <c r="G12" s="44">
        <f>G11-G10</f>
        <v>3.8225000000000051</v>
      </c>
    </row>
    <row r="14" spans="1:9" x14ac:dyDescent="0.2">
      <c r="A14" s="89" t="s">
        <v>345</v>
      </c>
      <c r="B14" s="80"/>
      <c r="C14" s="80"/>
      <c r="D14" s="80"/>
      <c r="E14" s="80"/>
      <c r="F14" s="80"/>
      <c r="G14" s="80"/>
    </row>
    <row r="15" spans="1:9" ht="81" x14ac:dyDescent="0.2">
      <c r="A15" s="49" t="s">
        <v>346</v>
      </c>
      <c r="B15" s="49" t="s">
        <v>347</v>
      </c>
      <c r="C15" s="66" t="s">
        <v>508</v>
      </c>
      <c r="D15" s="66" t="s">
        <v>509</v>
      </c>
      <c r="E15" s="66" t="s">
        <v>510</v>
      </c>
      <c r="F15" s="65" t="s">
        <v>511</v>
      </c>
      <c r="G15" s="49" t="s">
        <v>63</v>
      </c>
      <c r="H15" s="66" t="s">
        <v>518</v>
      </c>
    </row>
    <row r="16" spans="1:9" ht="27" x14ac:dyDescent="0.2">
      <c r="A16" s="37">
        <v>0.01</v>
      </c>
      <c r="B16" s="38">
        <f t="shared" ref="B16:B34" si="0">-PV(A16/$B$8,$B$9*$B$8,$B$6*($B$7/$B$8),$B$6)</f>
        <v>1379.748382933386</v>
      </c>
      <c r="C16" s="69">
        <f t="shared" ref="C16:C34" si="1">-$B$48*(A16-$B$10)</f>
        <v>0.31181484181035651</v>
      </c>
      <c r="D16" s="69">
        <f t="shared" ref="D16:D34" si="2">0.5*$B$49*((A16-$B$10)^2)</f>
        <v>5.890644327993505E-2</v>
      </c>
      <c r="E16" s="70">
        <f>C16+D16</f>
        <v>0.37072128509029156</v>
      </c>
      <c r="F16" s="71">
        <f>$B$11*(1+E16)</f>
        <v>1370.7212850902915</v>
      </c>
      <c r="G16" s="76" t="str">
        <f>IF(A16&lt;$B$7-0.0001,"Premium (Yield &lt; Coupon)",IF(A16&gt;$B$7+0.0001,"Discount (Yield &gt; Coupon)","Par (Yield = Coupon)"))</f>
        <v>Premium (Yield &lt; Coupon)</v>
      </c>
      <c r="H16" s="68">
        <f>F16-B16</f>
        <v>-9.0270978430944524</v>
      </c>
    </row>
    <row r="17" spans="1:8" ht="27" x14ac:dyDescent="0.2">
      <c r="A17" s="35">
        <v>1.4999999999999999E-2</v>
      </c>
      <c r="B17" s="33">
        <f t="shared" si="0"/>
        <v>1323.8903446397533</v>
      </c>
      <c r="C17" s="69">
        <f t="shared" si="1"/>
        <v>0.27283798658406194</v>
      </c>
      <c r="D17" s="69">
        <f t="shared" si="2"/>
        <v>4.5100245636200277E-2</v>
      </c>
      <c r="E17" s="70">
        <f t="shared" ref="E17:E34" si="3">C17+D17</f>
        <v>0.31793823222026224</v>
      </c>
      <c r="F17" s="71">
        <f t="shared" ref="F17:F34" si="4">$B$11*(1+E17)</f>
        <v>1317.9382322202621</v>
      </c>
      <c r="G17" s="76" t="str">
        <f t="shared" ref="G17:G34" si="5">IF(A17&lt;$B$7-0.0001,"Premium (Yield &lt; Coupon)",IF(A17&gt;$B$7+0.0001,"Discount (Yield &gt; Coupon)","Par (Yield = Coupon)"))</f>
        <v>Premium (Yield &lt; Coupon)</v>
      </c>
      <c r="H17" s="68">
        <f t="shared" ref="H17:H34" si="6">F17-B17</f>
        <v>-5.9521124194911863</v>
      </c>
    </row>
    <row r="18" spans="1:8" ht="27" x14ac:dyDescent="0.2">
      <c r="A18" s="37">
        <v>0.02</v>
      </c>
      <c r="B18" s="38">
        <f t="shared" si="0"/>
        <v>1270.6832944940568</v>
      </c>
      <c r="C18" s="69">
        <f t="shared" si="1"/>
        <v>0.2338611313577674</v>
      </c>
      <c r="D18" s="69">
        <f t="shared" si="2"/>
        <v>3.3134874344963469E-2</v>
      </c>
      <c r="E18" s="70">
        <f t="shared" si="3"/>
        <v>0.26699600570273085</v>
      </c>
      <c r="F18" s="71">
        <f t="shared" si="4"/>
        <v>1266.9960057027311</v>
      </c>
      <c r="G18" s="76" t="str">
        <f t="shared" si="5"/>
        <v>Premium (Yield &lt; Coupon)</v>
      </c>
      <c r="H18" s="68">
        <f t="shared" si="6"/>
        <v>-3.6872887913257273</v>
      </c>
    </row>
    <row r="19" spans="1:8" ht="27" x14ac:dyDescent="0.2">
      <c r="A19" s="35">
        <v>2.5000000000000001E-2</v>
      </c>
      <c r="B19" s="33">
        <f t="shared" si="0"/>
        <v>1219.9914516778199</v>
      </c>
      <c r="C19" s="69">
        <f t="shared" si="1"/>
        <v>0.19488427613147283</v>
      </c>
      <c r="D19" s="69">
        <f t="shared" si="2"/>
        <v>2.3010329406224633E-2</v>
      </c>
      <c r="E19" s="70">
        <f t="shared" si="3"/>
        <v>0.21789460553769746</v>
      </c>
      <c r="F19" s="71">
        <f t="shared" si="4"/>
        <v>1217.8946055376975</v>
      </c>
      <c r="G19" s="76" t="str">
        <f t="shared" si="5"/>
        <v>Premium (Yield &lt; Coupon)</v>
      </c>
      <c r="H19" s="68">
        <f t="shared" si="6"/>
        <v>-2.0968461401223522</v>
      </c>
    </row>
    <row r="20" spans="1:8" ht="27" x14ac:dyDescent="0.2">
      <c r="A20" s="37">
        <v>0.03</v>
      </c>
      <c r="B20" s="38">
        <f t="shared" si="0"/>
        <v>1171.6863878508179</v>
      </c>
      <c r="C20" s="69">
        <f t="shared" si="1"/>
        <v>0.15590742090517828</v>
      </c>
      <c r="D20" s="69">
        <f t="shared" si="2"/>
        <v>1.4726610819983768E-2</v>
      </c>
      <c r="E20" s="70">
        <f t="shared" si="3"/>
        <v>0.17063403172516206</v>
      </c>
      <c r="F20" s="71">
        <f t="shared" si="4"/>
        <v>1170.634031725162</v>
      </c>
      <c r="G20" s="76" t="str">
        <f t="shared" si="5"/>
        <v>Premium (Yield &lt; Coupon)</v>
      </c>
      <c r="H20" s="68">
        <f t="shared" si="6"/>
        <v>-1.0523561256559333</v>
      </c>
    </row>
    <row r="21" spans="1:8" ht="27" x14ac:dyDescent="0.2">
      <c r="A21" s="35">
        <v>3.5000000000000003E-2</v>
      </c>
      <c r="B21" s="33">
        <f t="shared" si="0"/>
        <v>1125.6466097856271</v>
      </c>
      <c r="C21" s="69">
        <f t="shared" si="1"/>
        <v>0.11693056567888369</v>
      </c>
      <c r="D21" s="69">
        <f t="shared" si="2"/>
        <v>8.2837185862408656E-3</v>
      </c>
      <c r="E21" s="70">
        <f t="shared" si="3"/>
        <v>0.12521428426512454</v>
      </c>
      <c r="F21" s="71">
        <f t="shared" si="4"/>
        <v>1125.2142842651244</v>
      </c>
      <c r="G21" s="76" t="str">
        <f t="shared" si="5"/>
        <v>Premium (Yield &lt; Coupon)</v>
      </c>
      <c r="H21" s="68">
        <f t="shared" si="6"/>
        <v>-0.43232552050267259</v>
      </c>
    </row>
    <row r="22" spans="1:8" ht="27" x14ac:dyDescent="0.2">
      <c r="A22" s="37">
        <v>0.04</v>
      </c>
      <c r="B22" s="38">
        <f t="shared" si="0"/>
        <v>1081.7571667229856</v>
      </c>
      <c r="C22" s="69">
        <f t="shared" si="1"/>
        <v>7.7953710452589142E-2</v>
      </c>
      <c r="D22" s="69">
        <f t="shared" si="2"/>
        <v>3.6816527049959419E-3</v>
      </c>
      <c r="E22" s="70">
        <f t="shared" si="3"/>
        <v>8.1635363157585086E-2</v>
      </c>
      <c r="F22" s="71">
        <f t="shared" si="4"/>
        <v>1081.6353631575851</v>
      </c>
      <c r="G22" s="76" t="str">
        <f t="shared" si="5"/>
        <v>Premium (Yield &lt; Coupon)</v>
      </c>
      <c r="H22" s="68">
        <f t="shared" si="6"/>
        <v>-0.12180356540056891</v>
      </c>
    </row>
    <row r="23" spans="1:8" ht="27" x14ac:dyDescent="0.2">
      <c r="A23" s="35">
        <v>4.4999999999999998E-2</v>
      </c>
      <c r="B23" s="33">
        <f t="shared" si="0"/>
        <v>1039.9092809249398</v>
      </c>
      <c r="C23" s="69">
        <f t="shared" si="1"/>
        <v>3.8976855226294599E-2</v>
      </c>
      <c r="D23" s="69">
        <f t="shared" si="2"/>
        <v>9.2041317624898678E-4</v>
      </c>
      <c r="E23" s="70">
        <f t="shared" si="3"/>
        <v>3.9897268402543588E-2</v>
      </c>
      <c r="F23" s="71">
        <f t="shared" si="4"/>
        <v>1039.8972684025437</v>
      </c>
      <c r="G23" s="76" t="str">
        <f t="shared" si="5"/>
        <v>Premium (Yield &lt; Coupon)</v>
      </c>
      <c r="H23" s="68">
        <f t="shared" si="6"/>
        <v>-1.201252239616224E-2</v>
      </c>
    </row>
    <row r="24" spans="1:8" ht="27" x14ac:dyDescent="0.2">
      <c r="A24" s="40">
        <v>0.05</v>
      </c>
      <c r="B24" s="41">
        <f t="shared" si="0"/>
        <v>1000</v>
      </c>
      <c r="C24" s="69">
        <f t="shared" si="1"/>
        <v>0</v>
      </c>
      <c r="D24" s="69">
        <f t="shared" si="2"/>
        <v>0</v>
      </c>
      <c r="E24" s="70">
        <f t="shared" si="3"/>
        <v>0</v>
      </c>
      <c r="F24" s="71">
        <f t="shared" si="4"/>
        <v>1000</v>
      </c>
      <c r="G24" s="77" t="str">
        <f t="shared" si="5"/>
        <v>Par (Yield = Coupon)</v>
      </c>
      <c r="H24" s="68">
        <f t="shared" si="6"/>
        <v>0</v>
      </c>
    </row>
    <row r="25" spans="1:8" ht="27" x14ac:dyDescent="0.2">
      <c r="A25" s="35">
        <v>5.5E-2</v>
      </c>
      <c r="B25" s="33">
        <f t="shared" si="0"/>
        <v>961.93186966556095</v>
      </c>
      <c r="C25" s="69">
        <f t="shared" si="1"/>
        <v>-3.8976855226294543E-2</v>
      </c>
      <c r="D25" s="69">
        <f t="shared" si="2"/>
        <v>9.2041317624898418E-4</v>
      </c>
      <c r="E25" s="70">
        <f t="shared" si="3"/>
        <v>-3.8056442050045561E-2</v>
      </c>
      <c r="F25" s="71">
        <f t="shared" si="4"/>
        <v>961.94355794995442</v>
      </c>
      <c r="G25" s="78" t="str">
        <f t="shared" si="5"/>
        <v>Discount (Yield &gt; Coupon)</v>
      </c>
      <c r="H25" s="68">
        <f t="shared" si="6"/>
        <v>1.1688284393471804E-2</v>
      </c>
    </row>
    <row r="26" spans="1:8" ht="27" x14ac:dyDescent="0.2">
      <c r="A26" s="37">
        <v>0.06</v>
      </c>
      <c r="B26" s="38">
        <f t="shared" si="0"/>
        <v>925.61262569772248</v>
      </c>
      <c r="C26" s="69">
        <f t="shared" si="1"/>
        <v>-7.7953710452589087E-2</v>
      </c>
      <c r="D26" s="69">
        <f t="shared" si="2"/>
        <v>3.6816527049959367E-3</v>
      </c>
      <c r="E26" s="70">
        <f t="shared" si="3"/>
        <v>-7.4272057747593156E-2</v>
      </c>
      <c r="F26" s="71">
        <f t="shared" si="4"/>
        <v>925.72794225240682</v>
      </c>
      <c r="G26" s="76" t="str">
        <f t="shared" si="5"/>
        <v>Discount (Yield &gt; Coupon)</v>
      </c>
      <c r="H26" s="68">
        <f t="shared" si="6"/>
        <v>0.1153165546843411</v>
      </c>
    </row>
    <row r="27" spans="1:8" ht="27" x14ac:dyDescent="0.2">
      <c r="A27" s="35">
        <v>6.5000000000000002E-2</v>
      </c>
      <c r="B27" s="33">
        <f t="shared" si="0"/>
        <v>890.95490389799329</v>
      </c>
      <c r="C27" s="69">
        <f t="shared" si="1"/>
        <v>-0.11693056567888369</v>
      </c>
      <c r="D27" s="69">
        <f t="shared" si="2"/>
        <v>8.2837185862408656E-3</v>
      </c>
      <c r="E27" s="70">
        <f t="shared" si="3"/>
        <v>-0.10864684709264281</v>
      </c>
      <c r="F27" s="71">
        <f t="shared" si="4"/>
        <v>891.35315290735718</v>
      </c>
      <c r="G27" s="78" t="str">
        <f t="shared" si="5"/>
        <v>Discount (Yield &gt; Coupon)</v>
      </c>
      <c r="H27" s="68">
        <f t="shared" si="6"/>
        <v>0.3982490093638944</v>
      </c>
    </row>
    <row r="28" spans="1:8" ht="27" x14ac:dyDescent="0.2">
      <c r="A28" s="37">
        <v>7.0000000000000007E-2</v>
      </c>
      <c r="B28" s="38">
        <f t="shared" si="0"/>
        <v>857.8759669804773</v>
      </c>
      <c r="C28" s="69">
        <f t="shared" si="1"/>
        <v>-0.15590742090517828</v>
      </c>
      <c r="D28" s="69">
        <f t="shared" si="2"/>
        <v>1.4726610819983768E-2</v>
      </c>
      <c r="E28" s="70">
        <f t="shared" si="3"/>
        <v>-0.14118081008519451</v>
      </c>
      <c r="F28" s="71">
        <f t="shared" si="4"/>
        <v>858.81918991480541</v>
      </c>
      <c r="G28" s="76" t="str">
        <f t="shared" si="5"/>
        <v>Discount (Yield &gt; Coupon)</v>
      </c>
      <c r="H28" s="68">
        <f t="shared" si="6"/>
        <v>0.94322293432810511</v>
      </c>
    </row>
    <row r="29" spans="1:8" ht="27" x14ac:dyDescent="0.2">
      <c r="A29" s="35">
        <v>7.4999999999999997E-2</v>
      </c>
      <c r="B29" s="33">
        <f t="shared" si="0"/>
        <v>826.29744735238967</v>
      </c>
      <c r="C29" s="69">
        <f t="shared" si="1"/>
        <v>-0.19488427613147277</v>
      </c>
      <c r="D29" s="69">
        <f t="shared" si="2"/>
        <v>2.3010329406224616E-2</v>
      </c>
      <c r="E29" s="70">
        <f t="shared" si="3"/>
        <v>-0.17187394672524817</v>
      </c>
      <c r="F29" s="71">
        <f t="shared" si="4"/>
        <v>828.12605327475183</v>
      </c>
      <c r="G29" s="78" t="str">
        <f t="shared" si="5"/>
        <v>Discount (Yield &gt; Coupon)</v>
      </c>
      <c r="H29" s="68">
        <f t="shared" si="6"/>
        <v>1.8286059223621578</v>
      </c>
    </row>
    <row r="30" spans="1:8" ht="27" x14ac:dyDescent="0.2">
      <c r="A30" s="37">
        <v>0.08</v>
      </c>
      <c r="B30" s="38">
        <f t="shared" si="0"/>
        <v>796.14510482548451</v>
      </c>
      <c r="C30" s="69">
        <f t="shared" si="1"/>
        <v>-0.23386113135776737</v>
      </c>
      <c r="D30" s="69">
        <f t="shared" si="2"/>
        <v>3.3134874344963462E-2</v>
      </c>
      <c r="E30" s="70">
        <f t="shared" si="3"/>
        <v>-0.20072625701280392</v>
      </c>
      <c r="F30" s="71">
        <f t="shared" si="4"/>
        <v>799.2737429871961</v>
      </c>
      <c r="G30" s="76" t="str">
        <f t="shared" si="5"/>
        <v>Discount (Yield &gt; Coupon)</v>
      </c>
      <c r="H30" s="68">
        <f t="shared" si="6"/>
        <v>3.1286381617115921</v>
      </c>
    </row>
    <row r="31" spans="1:8" ht="27" x14ac:dyDescent="0.2">
      <c r="A31" s="35">
        <v>8.5000000000000006E-2</v>
      </c>
      <c r="B31" s="33">
        <f t="shared" si="0"/>
        <v>767.34859835645159</v>
      </c>
      <c r="C31" s="69">
        <f t="shared" si="1"/>
        <v>-0.27283798658406194</v>
      </c>
      <c r="D31" s="69">
        <f t="shared" si="2"/>
        <v>4.5100245636200277E-2</v>
      </c>
      <c r="E31" s="70">
        <f t="shared" si="3"/>
        <v>-0.22773774094786167</v>
      </c>
      <c r="F31" s="71">
        <f t="shared" si="4"/>
        <v>772.26225905213835</v>
      </c>
      <c r="G31" s="78" t="str">
        <f t="shared" si="5"/>
        <v>Discount (Yield &gt; Coupon)</v>
      </c>
      <c r="H31" s="68">
        <f t="shared" si="6"/>
        <v>4.9136606956867581</v>
      </c>
    </row>
    <row r="32" spans="1:8" ht="27" x14ac:dyDescent="0.2">
      <c r="A32" s="37">
        <v>0.09</v>
      </c>
      <c r="B32" s="38">
        <f t="shared" si="0"/>
        <v>739.84127097092642</v>
      </c>
      <c r="C32" s="69">
        <f t="shared" si="1"/>
        <v>-0.31181484181035646</v>
      </c>
      <c r="D32" s="69">
        <f t="shared" si="2"/>
        <v>5.8906443279935029E-2</v>
      </c>
      <c r="E32" s="70">
        <f t="shared" si="3"/>
        <v>-0.25290839853042141</v>
      </c>
      <c r="F32" s="71">
        <f t="shared" si="4"/>
        <v>747.09160146957856</v>
      </c>
      <c r="G32" s="76" t="str">
        <f t="shared" si="5"/>
        <v>Discount (Yield &gt; Coupon)</v>
      </c>
      <c r="H32" s="68">
        <f t="shared" si="6"/>
        <v>7.2503304986521471</v>
      </c>
    </row>
    <row r="33" spans="1:9" ht="27" x14ac:dyDescent="0.2">
      <c r="A33" s="35">
        <v>9.5000000000000001E-2</v>
      </c>
      <c r="B33" s="33">
        <f t="shared" si="0"/>
        <v>713.55994707861328</v>
      </c>
      <c r="C33" s="69">
        <f t="shared" si="1"/>
        <v>-0.35079169703665103</v>
      </c>
      <c r="D33" s="69">
        <f t="shared" si="2"/>
        <v>7.4553467276167795E-2</v>
      </c>
      <c r="E33" s="70">
        <f t="shared" si="3"/>
        <v>-0.27623822976048323</v>
      </c>
      <c r="F33" s="71">
        <f t="shared" si="4"/>
        <v>723.76177023951675</v>
      </c>
      <c r="G33" s="78" t="str">
        <f t="shared" si="5"/>
        <v>Discount (Yield &gt; Coupon)</v>
      </c>
      <c r="H33" s="68">
        <f t="shared" si="6"/>
        <v>10.201823160903473</v>
      </c>
    </row>
    <row r="34" spans="1:9" ht="27" x14ac:dyDescent="0.2">
      <c r="A34" s="37">
        <v>0.1</v>
      </c>
      <c r="B34" s="38">
        <f t="shared" si="0"/>
        <v>688.44474143650018</v>
      </c>
      <c r="C34" s="69">
        <f t="shared" si="1"/>
        <v>-0.38976855226294566</v>
      </c>
      <c r="D34" s="69">
        <f t="shared" si="2"/>
        <v>9.2041317624898533E-2</v>
      </c>
      <c r="E34" s="70">
        <f t="shared" si="3"/>
        <v>-0.29772723463804712</v>
      </c>
      <c r="F34" s="71">
        <f t="shared" si="4"/>
        <v>702.27276536195291</v>
      </c>
      <c r="G34" s="76" t="str">
        <f t="shared" si="5"/>
        <v>Discount (Yield &gt; Coupon)</v>
      </c>
      <c r="H34" s="68">
        <f t="shared" si="6"/>
        <v>13.828023925452726</v>
      </c>
    </row>
    <row r="36" spans="1:9" x14ac:dyDescent="0.2">
      <c r="A36" s="89" t="s">
        <v>348</v>
      </c>
      <c r="B36" s="80"/>
      <c r="C36" s="80"/>
      <c r="D36" s="80"/>
      <c r="E36" s="80"/>
      <c r="F36" s="80"/>
      <c r="G36" s="80"/>
      <c r="H36" s="80"/>
      <c r="I36" s="80"/>
    </row>
    <row r="37" spans="1:9" x14ac:dyDescent="0.2">
      <c r="A37" s="36" t="s">
        <v>349</v>
      </c>
      <c r="B37" s="36" t="s">
        <v>350</v>
      </c>
      <c r="C37" s="36" t="s">
        <v>17</v>
      </c>
      <c r="D37" s="36" t="s">
        <v>351</v>
      </c>
      <c r="E37" s="36" t="s">
        <v>352</v>
      </c>
      <c r="F37" s="36" t="s">
        <v>353</v>
      </c>
      <c r="G37" s="36" t="s">
        <v>354</v>
      </c>
      <c r="H37" s="36" t="s">
        <v>355</v>
      </c>
      <c r="I37" s="36" t="s">
        <v>356</v>
      </c>
    </row>
    <row r="38" spans="1:9" x14ac:dyDescent="0.2">
      <c r="A38" s="1" t="s">
        <v>357</v>
      </c>
      <c r="B38" s="33">
        <v>1000</v>
      </c>
      <c r="C38" s="35">
        <v>0.05</v>
      </c>
      <c r="D38" s="33">
        <f>-PV(C38/2,2*2,B38*(C38/2),B38)</f>
        <v>999.99999999999989</v>
      </c>
      <c r="E38" s="34">
        <v>1.86</v>
      </c>
      <c r="F38" s="34">
        <v>4.25</v>
      </c>
      <c r="G38" s="33">
        <f>-PV(0.03/2,2*2,B38*(C38/2),B38)</f>
        <v>1038.5438464755171</v>
      </c>
      <c r="H38" s="33">
        <f>-PV(0.07/2,2*2,B38*(C38/2),B38)</f>
        <v>963.26920791387772</v>
      </c>
      <c r="I38" s="33">
        <f t="shared" ref="I38:I41" si="7">(G38-D38)-(D38-H38)</f>
        <v>1.8130543893950062</v>
      </c>
    </row>
    <row r="39" spans="1:9" x14ac:dyDescent="0.2">
      <c r="A39" s="39" t="s">
        <v>358</v>
      </c>
      <c r="B39" s="38">
        <v>1000</v>
      </c>
      <c r="C39" s="37">
        <v>0.05</v>
      </c>
      <c r="D39" s="38">
        <f>-PV(C39/2,5*2,B39*(C39/2),B39)</f>
        <v>999.99999999999989</v>
      </c>
      <c r="E39" s="42">
        <v>4.33</v>
      </c>
      <c r="F39" s="42">
        <v>22.8</v>
      </c>
      <c r="G39" s="38">
        <f>-PV(0.03/2,5*2,B39*(C39/2),B39)</f>
        <v>1092.2218455185437</v>
      </c>
      <c r="H39" s="38">
        <f>-PV(0.07/2,5*2,B39*(C39/2),B39)</f>
        <v>916.83394677422064</v>
      </c>
      <c r="I39" s="38">
        <f t="shared" si="7"/>
        <v>9.0557922927645222</v>
      </c>
    </row>
    <row r="40" spans="1:9" x14ac:dyDescent="0.2">
      <c r="A40" s="1" t="s">
        <v>359</v>
      </c>
      <c r="B40" s="33">
        <v>1000</v>
      </c>
      <c r="C40" s="35">
        <v>0.05</v>
      </c>
      <c r="D40" s="33">
        <f>-PV(C40/2,10*2,B40*(C40/2),B40)</f>
        <v>1000</v>
      </c>
      <c r="E40" s="34">
        <v>7.79</v>
      </c>
      <c r="F40" s="34">
        <v>76.45</v>
      </c>
      <c r="G40" s="33">
        <f>-PV(0.03/2,10*2,B40*(C40/2),B40)</f>
        <v>1171.6863878508179</v>
      </c>
      <c r="H40" s="33">
        <f>-PV(0.07/2,10*2,B40*(C40/2),B40)</f>
        <v>857.8759669804773</v>
      </c>
      <c r="I40" s="33">
        <f t="shared" si="7"/>
        <v>29.562354831295238</v>
      </c>
    </row>
    <row r="41" spans="1:9" x14ac:dyDescent="0.2">
      <c r="A41" s="39" t="s">
        <v>360</v>
      </c>
      <c r="B41" s="38">
        <v>1000</v>
      </c>
      <c r="C41" s="37">
        <v>0.05</v>
      </c>
      <c r="D41" s="38">
        <f>-PV(C41/2,30*2,B41*(C41/2),B41)</f>
        <v>999.99999999999989</v>
      </c>
      <c r="E41" s="42">
        <v>15.37</v>
      </c>
      <c r="F41" s="42">
        <v>358.2</v>
      </c>
      <c r="G41" s="38">
        <f>-PV(0.03/2,30*2,B41*(C41/2),B41)</f>
        <v>1393.802688853428</v>
      </c>
      <c r="H41" s="38">
        <f>-PV(0.07/2,30*2,B41*(C41/2),B41)</f>
        <v>750.55265881751495</v>
      </c>
      <c r="I41" s="38">
        <f t="shared" si="7"/>
        <v>144.35534767094316</v>
      </c>
    </row>
    <row r="43" spans="1:9" x14ac:dyDescent="0.2">
      <c r="A43" s="61" t="s">
        <v>505</v>
      </c>
    </row>
    <row r="44" spans="1:9" x14ac:dyDescent="0.2">
      <c r="A44" s="62" t="s">
        <v>501</v>
      </c>
      <c r="B44" s="63">
        <v>2.5000000000000001E-3</v>
      </c>
    </row>
    <row r="45" spans="1:9" x14ac:dyDescent="0.2">
      <c r="A45" s="62" t="s">
        <v>502</v>
      </c>
      <c r="B45" s="67">
        <f>-PV(($B$10-$B$44)/$B$8,$B$9*$B$8,$B$6*($B$7/$B$8),$B$6)</f>
        <v>1019.7185309072095</v>
      </c>
    </row>
    <row r="46" spans="1:9" x14ac:dyDescent="0.2">
      <c r="A46" s="62" t="s">
        <v>503</v>
      </c>
      <c r="B46" s="67">
        <f>$B$11</f>
        <v>1000</v>
      </c>
    </row>
    <row r="47" spans="1:9" x14ac:dyDescent="0.2">
      <c r="A47" s="62" t="s">
        <v>504</v>
      </c>
      <c r="B47" s="67">
        <f>-PV(($B$10+$B$44)/$B$8,$B$9*$B$8,$B$6*($B$7/$B$8),$B$6)</f>
        <v>980.74167568091491</v>
      </c>
    </row>
    <row r="48" spans="1:9" x14ac:dyDescent="0.2">
      <c r="A48" s="62" t="s">
        <v>506</v>
      </c>
      <c r="B48" s="64">
        <f>($B$45-$B$47)/(2*$B$46*$B$44)</f>
        <v>7.7953710452589124</v>
      </c>
    </row>
    <row r="49" spans="1:2" x14ac:dyDescent="0.2">
      <c r="A49" s="62" t="s">
        <v>507</v>
      </c>
      <c r="B49" s="64">
        <f>($B$45+$B$47-2*$B$46)/($B$46*$B$44^2)</f>
        <v>73.633054099918809</v>
      </c>
    </row>
    <row r="50" spans="1:2" x14ac:dyDescent="0.2">
      <c r="A50" s="62" t="s">
        <v>512</v>
      </c>
      <c r="B50" s="63">
        <v>0.01</v>
      </c>
    </row>
    <row r="51" spans="1:2" x14ac:dyDescent="0.2">
      <c r="A51" s="62" t="s">
        <v>513</v>
      </c>
      <c r="B51" s="72">
        <f>-$B$48*$B$50</f>
        <v>-7.7953710452589128E-2</v>
      </c>
    </row>
    <row r="52" spans="1:2" x14ac:dyDescent="0.2">
      <c r="A52" s="62" t="s">
        <v>514</v>
      </c>
      <c r="B52" s="72">
        <f>0.5*$B$49*$B$50^2</f>
        <v>3.6816527049959406E-3</v>
      </c>
    </row>
    <row r="53" spans="1:2" x14ac:dyDescent="0.2">
      <c r="A53" s="62" t="s">
        <v>515</v>
      </c>
      <c r="B53" s="73">
        <f>$B$51+$B$52</f>
        <v>-7.4272057747593184E-2</v>
      </c>
    </row>
    <row r="54" spans="1:2" x14ac:dyDescent="0.2">
      <c r="A54" s="62" t="s">
        <v>516</v>
      </c>
      <c r="B54" s="74">
        <f>$B$11*(1+$B$53)</f>
        <v>925.72794225240682</v>
      </c>
    </row>
    <row r="55" spans="1:2" x14ac:dyDescent="0.2">
      <c r="A55" s="62" t="s">
        <v>517</v>
      </c>
      <c r="B55" s="67">
        <f>-PV(($B$10+$B$50)/$B$8,$B$9*$B$8,$B$6*($B$7/$B$8),$B$6)</f>
        <v>925.61262569772236</v>
      </c>
    </row>
    <row r="56" spans="1:2" x14ac:dyDescent="0.2">
      <c r="A56" s="62" t="s">
        <v>518</v>
      </c>
      <c r="B56" s="75">
        <f>$B$54-$B$55</f>
        <v>0.11531655468445479</v>
      </c>
    </row>
  </sheetData>
  <mergeCells count="6">
    <mergeCell ref="A36:I36"/>
    <mergeCell ref="A1:I2"/>
    <mergeCell ref="A3:I3"/>
    <mergeCell ref="A5:D5"/>
    <mergeCell ref="F5:I5"/>
    <mergeCell ref="A14:G14"/>
  </mergeCells>
  <pageMargins left="0.7" right="0.7" top="0.75" bottom="0.75" header="0.3" footer="0.3"/>
  <pageSetup orientation="portrait"/>
  <headerFooter>
    <oddHeader>&amp;L&amp;C&amp;R</oddHeader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2D658-0BC7-3038-732B-81C75446AAC8}">
  <dimension ref="A1:I40"/>
  <sheetViews>
    <sheetView topLeftCell="A21" workbookViewId="0">
      <selection activeCell="C40" sqref="C40"/>
    </sheetView>
  </sheetViews>
  <sheetFormatPr baseColWidth="10" defaultColWidth="8.83203125" defaultRowHeight="26" x14ac:dyDescent="0.2"/>
  <cols>
    <col min="1" max="1" width="24" style="1" customWidth="1"/>
    <col min="2" max="7" width="34.33203125" style="1" customWidth="1"/>
    <col min="8" max="8" width="23.5" style="1" customWidth="1"/>
    <col min="9" max="9" width="34.33203125" style="1" customWidth="1"/>
    <col min="10" max="16384" width="8.83203125" style="1"/>
  </cols>
  <sheetData>
    <row r="1" spans="1:9" x14ac:dyDescent="0.2">
      <c r="A1" s="81" t="s">
        <v>361</v>
      </c>
      <c r="B1" s="80"/>
      <c r="C1" s="80"/>
      <c r="D1" s="80"/>
      <c r="E1" s="80"/>
      <c r="F1" s="80"/>
      <c r="G1" s="80"/>
      <c r="H1" s="80"/>
      <c r="I1" s="80"/>
    </row>
    <row r="2" spans="1:9" x14ac:dyDescent="0.2">
      <c r="A2" s="80"/>
      <c r="B2" s="80"/>
      <c r="C2" s="80"/>
      <c r="D2" s="80"/>
      <c r="E2" s="80"/>
      <c r="F2" s="80"/>
      <c r="G2" s="80"/>
      <c r="H2" s="80"/>
      <c r="I2" s="80"/>
    </row>
    <row r="3" spans="1:9" x14ac:dyDescent="0.2">
      <c r="A3" s="82" t="s">
        <v>362</v>
      </c>
      <c r="B3" s="80"/>
      <c r="C3" s="80"/>
      <c r="D3" s="80"/>
      <c r="E3" s="80"/>
      <c r="F3" s="80"/>
      <c r="G3" s="80"/>
      <c r="H3" s="80"/>
      <c r="I3" s="80"/>
    </row>
    <row r="5" spans="1:9" x14ac:dyDescent="0.2">
      <c r="A5" s="79" t="s">
        <v>363</v>
      </c>
      <c r="B5" s="80"/>
      <c r="C5" s="80"/>
      <c r="D5" s="80"/>
      <c r="E5" s="80"/>
      <c r="F5" s="80"/>
      <c r="G5" s="80"/>
    </row>
    <row r="6" spans="1:9" x14ac:dyDescent="0.2">
      <c r="A6" s="50" t="s">
        <v>364</v>
      </c>
      <c r="B6" s="50" t="s">
        <v>365</v>
      </c>
      <c r="C6" s="50" t="s">
        <v>366</v>
      </c>
      <c r="D6" s="50" t="s">
        <v>367</v>
      </c>
      <c r="E6" s="50" t="s">
        <v>368</v>
      </c>
      <c r="F6" s="50" t="s">
        <v>369</v>
      </c>
      <c r="G6" s="50" t="s">
        <v>370</v>
      </c>
    </row>
    <row r="7" spans="1:9" x14ac:dyDescent="0.2">
      <c r="A7" s="51" t="s">
        <v>371</v>
      </c>
      <c r="B7" s="52" t="s">
        <v>372</v>
      </c>
      <c r="C7" s="51" t="s">
        <v>373</v>
      </c>
      <c r="D7" s="51" t="s">
        <v>374</v>
      </c>
      <c r="E7" s="51" t="s">
        <v>375</v>
      </c>
      <c r="F7" s="51" t="s">
        <v>376</v>
      </c>
      <c r="G7" s="51" t="s">
        <v>377</v>
      </c>
    </row>
    <row r="8" spans="1:9" x14ac:dyDescent="0.2">
      <c r="A8" s="53" t="s">
        <v>378</v>
      </c>
      <c r="B8" s="54" t="s">
        <v>379</v>
      </c>
      <c r="C8" s="53" t="s">
        <v>380</v>
      </c>
      <c r="D8" s="53" t="s">
        <v>381</v>
      </c>
      <c r="E8" s="53" t="s">
        <v>382</v>
      </c>
      <c r="F8" s="53" t="s">
        <v>383</v>
      </c>
      <c r="G8" s="53" t="s">
        <v>384</v>
      </c>
    </row>
    <row r="9" spans="1:9" x14ac:dyDescent="0.2">
      <c r="A9" s="51" t="s">
        <v>385</v>
      </c>
      <c r="B9" s="52" t="s">
        <v>386</v>
      </c>
      <c r="C9" s="51" t="s">
        <v>387</v>
      </c>
      <c r="D9" s="51" t="s">
        <v>388</v>
      </c>
      <c r="E9" s="51" t="s">
        <v>389</v>
      </c>
      <c r="F9" s="51" t="s">
        <v>390</v>
      </c>
      <c r="G9" s="51" t="s">
        <v>391</v>
      </c>
    </row>
    <row r="10" spans="1:9" x14ac:dyDescent="0.2">
      <c r="A10" s="53" t="s">
        <v>392</v>
      </c>
      <c r="B10" s="54" t="s">
        <v>393</v>
      </c>
      <c r="C10" s="53" t="s">
        <v>394</v>
      </c>
      <c r="D10" s="53" t="s">
        <v>395</v>
      </c>
      <c r="E10" s="53" t="s">
        <v>396</v>
      </c>
      <c r="F10" s="53" t="s">
        <v>397</v>
      </c>
      <c r="G10" s="53" t="s">
        <v>398</v>
      </c>
    </row>
    <row r="13" spans="1:9" x14ac:dyDescent="0.2">
      <c r="A13" s="79" t="s">
        <v>399</v>
      </c>
      <c r="B13" s="80"/>
      <c r="C13" s="80"/>
      <c r="D13" s="80"/>
      <c r="E13" s="80"/>
    </row>
    <row r="14" spans="1:9" x14ac:dyDescent="0.2">
      <c r="A14" s="50" t="s">
        <v>349</v>
      </c>
      <c r="B14" s="50" t="s">
        <v>400</v>
      </c>
      <c r="C14" s="50" t="s">
        <v>401</v>
      </c>
      <c r="D14" s="50" t="s">
        <v>402</v>
      </c>
      <c r="E14" s="50" t="s">
        <v>403</v>
      </c>
    </row>
    <row r="15" spans="1:9" x14ac:dyDescent="0.2">
      <c r="A15" s="55" t="s">
        <v>404</v>
      </c>
      <c r="B15" s="56">
        <v>8.3000000000000004E-2</v>
      </c>
      <c r="C15" s="57">
        <v>3.2500000000000001E-2</v>
      </c>
      <c r="D15" s="57">
        <v>5.5E-2</v>
      </c>
      <c r="E15" s="57">
        <v>4.4999999999999998E-2</v>
      </c>
    </row>
    <row r="16" spans="1:9" x14ac:dyDescent="0.2">
      <c r="A16" s="58" t="s">
        <v>405</v>
      </c>
      <c r="B16" s="59">
        <v>0.25</v>
      </c>
      <c r="C16" s="60">
        <v>3.5000000000000003E-2</v>
      </c>
      <c r="D16" s="60">
        <v>5.3999999999999999E-2</v>
      </c>
      <c r="E16" s="60">
        <v>4.4999999999999998E-2</v>
      </c>
    </row>
    <row r="17" spans="1:9" x14ac:dyDescent="0.2">
      <c r="A17" s="55" t="s">
        <v>406</v>
      </c>
      <c r="B17" s="56">
        <v>0.5</v>
      </c>
      <c r="C17" s="57">
        <v>3.7499999999999999E-2</v>
      </c>
      <c r="D17" s="57">
        <v>5.2999999999999999E-2</v>
      </c>
      <c r="E17" s="57">
        <v>4.4999999999999998E-2</v>
      </c>
    </row>
    <row r="18" spans="1:9" x14ac:dyDescent="0.2">
      <c r="A18" s="58" t="s">
        <v>407</v>
      </c>
      <c r="B18" s="59">
        <v>1</v>
      </c>
      <c r="C18" s="60">
        <v>0.04</v>
      </c>
      <c r="D18" s="60">
        <v>5.0999999999999997E-2</v>
      </c>
      <c r="E18" s="60">
        <v>4.4999999999999998E-2</v>
      </c>
    </row>
    <row r="19" spans="1:9" x14ac:dyDescent="0.2">
      <c r="A19" s="55" t="s">
        <v>408</v>
      </c>
      <c r="B19" s="56">
        <v>2</v>
      </c>
      <c r="C19" s="57">
        <v>4.2500000000000003E-2</v>
      </c>
      <c r="D19" s="57">
        <v>4.9000000000000002E-2</v>
      </c>
      <c r="E19" s="57">
        <v>4.4999999999999998E-2</v>
      </c>
    </row>
    <row r="20" spans="1:9" x14ac:dyDescent="0.2">
      <c r="A20" s="58" t="s">
        <v>409</v>
      </c>
      <c r="B20" s="59">
        <v>5</v>
      </c>
      <c r="C20" s="60">
        <v>4.5999999999999999E-2</v>
      </c>
      <c r="D20" s="60">
        <v>4.2999999999999997E-2</v>
      </c>
      <c r="E20" s="60">
        <v>4.4999999999999998E-2</v>
      </c>
    </row>
    <row r="21" spans="1:9" x14ac:dyDescent="0.2">
      <c r="A21" s="55" t="s">
        <v>410</v>
      </c>
      <c r="B21" s="56">
        <v>10</v>
      </c>
      <c r="C21" s="57">
        <v>0.05</v>
      </c>
      <c r="D21" s="57">
        <v>4.1000000000000002E-2</v>
      </c>
      <c r="E21" s="57">
        <v>4.4999999999999998E-2</v>
      </c>
    </row>
    <row r="22" spans="1:9" x14ac:dyDescent="0.2">
      <c r="A22" s="58" t="s">
        <v>411</v>
      </c>
      <c r="B22" s="59">
        <v>30</v>
      </c>
      <c r="C22" s="60">
        <v>5.3999999999999999E-2</v>
      </c>
      <c r="D22" s="60">
        <v>4.2500000000000003E-2</v>
      </c>
      <c r="E22" s="60">
        <v>4.4999999999999998E-2</v>
      </c>
    </row>
    <row r="24" spans="1:9" x14ac:dyDescent="0.2">
      <c r="A24" s="79" t="s">
        <v>412</v>
      </c>
      <c r="B24" s="80"/>
      <c r="C24" s="80"/>
      <c r="D24" s="80"/>
      <c r="E24" s="80"/>
      <c r="F24" s="80"/>
      <c r="G24" s="80"/>
      <c r="H24" s="80"/>
      <c r="I24" s="80"/>
    </row>
    <row r="25" spans="1:9" x14ac:dyDescent="0.2">
      <c r="A25" s="50" t="s">
        <v>413</v>
      </c>
      <c r="B25" s="50" t="s">
        <v>414</v>
      </c>
      <c r="C25" s="50" t="s">
        <v>415</v>
      </c>
      <c r="D25" s="50" t="s">
        <v>416</v>
      </c>
      <c r="E25" s="50" t="s">
        <v>417</v>
      </c>
      <c r="F25" s="50" t="s">
        <v>418</v>
      </c>
      <c r="G25" s="50" t="s">
        <v>419</v>
      </c>
      <c r="H25" s="50" t="s">
        <v>420</v>
      </c>
      <c r="I25" s="50" t="s">
        <v>421</v>
      </c>
    </row>
    <row r="26" spans="1:9" x14ac:dyDescent="0.2">
      <c r="A26" s="51" t="s">
        <v>422</v>
      </c>
      <c r="B26" s="51" t="s">
        <v>423</v>
      </c>
      <c r="C26" s="52" t="s">
        <v>424</v>
      </c>
      <c r="D26" s="52" t="s">
        <v>425</v>
      </c>
      <c r="E26" s="51" t="s">
        <v>426</v>
      </c>
      <c r="F26" s="51" t="s">
        <v>427</v>
      </c>
      <c r="G26" s="51" t="s">
        <v>428</v>
      </c>
      <c r="H26" s="51" t="s">
        <v>429</v>
      </c>
      <c r="I26" s="51" t="s">
        <v>430</v>
      </c>
    </row>
    <row r="27" spans="1:9" x14ac:dyDescent="0.2">
      <c r="A27" s="53" t="s">
        <v>160</v>
      </c>
      <c r="B27" s="53" t="s">
        <v>431</v>
      </c>
      <c r="C27" s="54" t="s">
        <v>432</v>
      </c>
      <c r="D27" s="54" t="s">
        <v>433</v>
      </c>
      <c r="E27" s="53" t="s">
        <v>434</v>
      </c>
      <c r="F27" s="53" t="s">
        <v>435</v>
      </c>
      <c r="G27" s="53" t="s">
        <v>436</v>
      </c>
      <c r="H27" s="53" t="s">
        <v>437</v>
      </c>
      <c r="I27" s="53" t="s">
        <v>438</v>
      </c>
    </row>
    <row r="28" spans="1:9" x14ac:dyDescent="0.2">
      <c r="A28" s="51" t="s">
        <v>439</v>
      </c>
      <c r="B28" s="51" t="s">
        <v>440</v>
      </c>
      <c r="C28" s="52" t="s">
        <v>441</v>
      </c>
      <c r="D28" s="52" t="s">
        <v>442</v>
      </c>
      <c r="E28" s="51" t="s">
        <v>443</v>
      </c>
      <c r="F28" s="51" t="s">
        <v>444</v>
      </c>
      <c r="G28" s="51" t="s">
        <v>436</v>
      </c>
      <c r="H28" s="51" t="s">
        <v>445</v>
      </c>
      <c r="I28" s="51" t="s">
        <v>446</v>
      </c>
    </row>
    <row r="29" spans="1:9" x14ac:dyDescent="0.2">
      <c r="A29" s="53" t="s">
        <v>447</v>
      </c>
      <c r="B29" s="53" t="s">
        <v>448</v>
      </c>
      <c r="C29" s="54" t="s">
        <v>449</v>
      </c>
      <c r="D29" s="54" t="s">
        <v>450</v>
      </c>
      <c r="E29" s="53" t="s">
        <v>451</v>
      </c>
      <c r="F29" s="53" t="s">
        <v>452</v>
      </c>
      <c r="G29" s="53" t="s">
        <v>453</v>
      </c>
      <c r="H29" s="53" t="s">
        <v>445</v>
      </c>
      <c r="I29" s="53" t="s">
        <v>454</v>
      </c>
    </row>
    <row r="30" spans="1:9" x14ac:dyDescent="0.2">
      <c r="A30" s="51" t="s">
        <v>207</v>
      </c>
      <c r="B30" s="51" t="s">
        <v>455</v>
      </c>
      <c r="C30" s="52" t="s">
        <v>456</v>
      </c>
      <c r="D30" s="52" t="s">
        <v>457</v>
      </c>
      <c r="E30" s="51" t="s">
        <v>426</v>
      </c>
      <c r="F30" s="51" t="s">
        <v>458</v>
      </c>
      <c r="G30" s="51" t="s">
        <v>459</v>
      </c>
      <c r="H30" s="51" t="s">
        <v>437</v>
      </c>
      <c r="I30" s="51" t="s">
        <v>460</v>
      </c>
    </row>
    <row r="31" spans="1:9" x14ac:dyDescent="0.2">
      <c r="A31" s="53" t="s">
        <v>200</v>
      </c>
      <c r="B31" s="53" t="s">
        <v>461</v>
      </c>
      <c r="C31" s="54" t="s">
        <v>462</v>
      </c>
      <c r="D31" s="54" t="s">
        <v>463</v>
      </c>
      <c r="E31" s="53" t="s">
        <v>464</v>
      </c>
      <c r="F31" s="53" t="s">
        <v>465</v>
      </c>
      <c r="G31" s="53" t="s">
        <v>466</v>
      </c>
      <c r="H31" s="53" t="s">
        <v>467</v>
      </c>
      <c r="I31" s="53" t="s">
        <v>468</v>
      </c>
    </row>
    <row r="32" spans="1:9" x14ac:dyDescent="0.2">
      <c r="A32" s="51" t="s">
        <v>469</v>
      </c>
      <c r="B32" s="51" t="s">
        <v>470</v>
      </c>
      <c r="C32" s="52" t="s">
        <v>471</v>
      </c>
      <c r="D32" s="52" t="s">
        <v>472</v>
      </c>
      <c r="E32" s="51" t="s">
        <v>473</v>
      </c>
      <c r="F32" s="51" t="s">
        <v>474</v>
      </c>
      <c r="G32" s="51" t="s">
        <v>466</v>
      </c>
      <c r="H32" s="51" t="s">
        <v>445</v>
      </c>
      <c r="I32" s="51" t="s">
        <v>475</v>
      </c>
    </row>
    <row r="34" spans="1:5" x14ac:dyDescent="0.2">
      <c r="A34" s="79" t="s">
        <v>476</v>
      </c>
      <c r="B34" s="80"/>
      <c r="C34" s="80"/>
      <c r="D34" s="80"/>
      <c r="E34" s="80"/>
    </row>
    <row r="36" spans="1:5" x14ac:dyDescent="0.2">
      <c r="A36" s="50" t="s">
        <v>477</v>
      </c>
      <c r="B36" s="50" t="s">
        <v>4</v>
      </c>
      <c r="C36" s="50" t="s">
        <v>478</v>
      </c>
      <c r="D36" s="50" t="s">
        <v>479</v>
      </c>
      <c r="E36" s="50" t="s">
        <v>480</v>
      </c>
    </row>
    <row r="37" spans="1:5" x14ac:dyDescent="0.2">
      <c r="A37" s="51" t="s">
        <v>481</v>
      </c>
      <c r="B37" s="51" t="s">
        <v>482</v>
      </c>
      <c r="C37" s="51" t="s">
        <v>483</v>
      </c>
      <c r="D37" s="51" t="s">
        <v>484</v>
      </c>
      <c r="E37" s="51" t="s">
        <v>485</v>
      </c>
    </row>
    <row r="38" spans="1:5" x14ac:dyDescent="0.2">
      <c r="A38" s="53" t="s">
        <v>486</v>
      </c>
      <c r="B38" s="53" t="s">
        <v>487</v>
      </c>
      <c r="C38" s="53" t="s">
        <v>488</v>
      </c>
      <c r="D38" s="53" t="s">
        <v>489</v>
      </c>
      <c r="E38" s="53" t="s">
        <v>490</v>
      </c>
    </row>
    <row r="39" spans="1:5" x14ac:dyDescent="0.2">
      <c r="A39" s="51" t="s">
        <v>491</v>
      </c>
      <c r="B39" s="51" t="s">
        <v>492</v>
      </c>
      <c r="C39" s="51" t="s">
        <v>493</v>
      </c>
      <c r="D39" s="51" t="s">
        <v>494</v>
      </c>
      <c r="E39" s="51" t="s">
        <v>495</v>
      </c>
    </row>
    <row r="40" spans="1:5" x14ac:dyDescent="0.2">
      <c r="A40" s="53" t="s">
        <v>496</v>
      </c>
      <c r="B40" s="53" t="s">
        <v>497</v>
      </c>
      <c r="C40" s="53" t="s">
        <v>498</v>
      </c>
      <c r="D40" s="53" t="s">
        <v>499</v>
      </c>
      <c r="E40" s="53" t="s">
        <v>500</v>
      </c>
    </row>
  </sheetData>
  <mergeCells count="6">
    <mergeCell ref="A34:E34"/>
    <mergeCell ref="A1:I2"/>
    <mergeCell ref="A3:I3"/>
    <mergeCell ref="A5:G5"/>
    <mergeCell ref="A13:E13"/>
    <mergeCell ref="A24:I24"/>
  </mergeCells>
  <pageMargins left="0.7" right="0.7" top="0.75" bottom="0.75" header="0.3" footer="0.3"/>
  <pageSetup orientation="portrait"/>
  <headerFooter>
    <oddHeader>&amp;L&amp;C&amp;R</oddHeader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 &amp; Guide</vt:lpstr>
      <vt:lpstr>Pricing &amp; Yield Calculators</vt:lpstr>
      <vt:lpstr>Price-Yield &amp; Convexity</vt:lpstr>
      <vt:lpstr>Yield Curves &amp; Markets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Ravichandran Vaidyanathan</cp:lastModifiedBy>
  <dcterms:created xsi:type="dcterms:W3CDTF">2026-09-12T12:07:42Z</dcterms:created>
  <dcterms:modified xsi:type="dcterms:W3CDTF">2026-09-12T14:46:59Z</dcterms:modified>
</cp:coreProperties>
</file>