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9.xml" ContentType="application/vnd.openxmlformats-officedocument.spreadsheetml.comment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8.xml.rels" ContentType="application/vnd.openxmlformats-package.relationships+xml"/>
  <Override PartName="/xl/drawings/_rels/drawing7.xml.rels" ContentType="application/vnd.openxmlformats-package.relationships+xml"/>
  <Override PartName="/xl/drawings/_rels/drawing6.xml.rels" ContentType="application/vnd.openxmlformats-package.relationships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vmlDrawing1.vml" ContentType="application/vnd.openxmlformats-officedocument.vmlDrawing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1 Coupon Bond" sheetId="2" state="visible" r:id="rId4"/>
    <sheet name="2 Zero Coupon" sheetId="3" state="visible" r:id="rId5"/>
    <sheet name="3 FRN" sheetId="4" state="visible" r:id="rId6"/>
    <sheet name="4 Convertible" sheetId="5" state="visible" r:id="rId7"/>
    <sheet name="5 YTM YTC YTW" sheetId="6" state="visible" r:id="rId8"/>
    <sheet name="6 Money Market" sheetId="7" state="visible" r:id="rId9"/>
    <sheet name="7 Accrued Interest" sheetId="8" state="visible" r:id="rId10"/>
    <sheet name="8 Duration Convexity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9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2" authorId="0">
      <text>
        <r>
          <rPr>
            <sz val="10"/>
            <rFont val="Arial"/>
            <family val="2"/>
          </rPr>
          <t xml:space="preserve">Small symmetric bump for the short-cut (effective) formulas: 0.25% = 25 bp.</t>
        </r>
      </text>
    </comment>
  </commentList>
</comments>
</file>

<file path=xl/sharedStrings.xml><?xml version="1.0" encoding="utf-8"?>
<sst xmlns="http://schemas.openxmlformats.org/spreadsheetml/2006/main" count="392" uniqueCount="347">
  <si>
    <t xml:space="preserve">Mastering Bond Mathematics through Excel</t>
  </si>
  <si>
    <t xml:space="preserve">Companion workbook · The Mountain Path Academy · https://themountainpathacademy.com/bond-mathematics-in-excel</t>
  </si>
  <si>
    <t xml:space="preserve">How to use</t>
  </si>
  <si>
    <t xml:space="preserve">Yellow cells, blue text</t>
  </si>
  <si>
    <t xml:space="preserve">Inputs. Change them and every formula, table and chart on the sheet recalculates.</t>
  </si>
  <si>
    <t xml:space="preserve">Green cells, bold</t>
  </si>
  <si>
    <t xml:space="preserve">Key outputs (prices, yields, durations).</t>
  </si>
  <si>
    <t xml:space="preserve">Red Consolas text</t>
  </si>
  <si>
    <t xml:space="preserve">The formula used in the cell to its left, so you can read the logic without clicking.</t>
  </si>
  <si>
    <t xml:space="preserve">Face value</t>
  </si>
  <si>
    <t xml:space="preserve">Bond prices are per 100 of face value unless the sheet says otherwise (convertible: per 1,000).</t>
  </si>
  <si>
    <t xml:space="preserve">Rates</t>
  </si>
  <si>
    <t xml:space="preserve">Stored as decimals and shown as %. Type 7.5% or 0.075 — never 7.5.</t>
  </si>
  <si>
    <t xml:space="preserve">Dates</t>
  </si>
  <si>
    <t xml:space="preserve">Real Excel dates. PRICE, YIELD, ACCRINT, COUP*, DURATION and TBILL* need valid dates.</t>
  </si>
  <si>
    <t xml:space="preserve">Basis</t>
  </si>
  <si>
    <t xml:space="preserve">0 = US 30/360 (Indian G-secs, corporate bonds) · 1 = Actual/Actual (US Treasuries) · 2 = Actual/360 · 3 = Actual/365.</t>
  </si>
  <si>
    <t xml:space="preserve">Examples</t>
  </si>
  <si>
    <t xml:space="preserve">All bonds are hypothetical teaching examples, not market quotes or recommendations.</t>
  </si>
  <si>
    <t xml:space="preserve">Sheets</t>
  </si>
  <si>
    <t xml:space="preserve">1 Coupon Bond</t>
  </si>
  <si>
    <t xml:space="preserve">Price = PV of cash flows three ways (cash-flow table, PV, PRICE) + price–yield curve for 0%, 7% and 12% coupons</t>
  </si>
  <si>
    <t xml:space="preserve">2 Zero Coupon</t>
  </si>
  <si>
    <t xml:space="preserve">Zero price and yield (RATE), pull-to-par path</t>
  </si>
  <si>
    <t xml:space="preserve">3 FRN</t>
  </si>
  <si>
    <t xml:space="preserve">Floating-rate note: quoted margin vs discount margin, rate-shock comparison with a fixed bond</t>
  </si>
  <si>
    <t xml:space="preserve">4 Convertible</t>
  </si>
  <si>
    <t xml:space="preserve">Straight value, conversion value, minimum value, premiums, payback; value-vs-share-price chart</t>
  </si>
  <si>
    <t xml:space="preserve">5 YTM YTC YTW</t>
  </si>
  <si>
    <t xml:space="preserve">Callable bond: YIELD to maturity and to each call date, yield to worst</t>
  </si>
  <si>
    <t xml:space="preserve">6 Money Market</t>
  </si>
  <si>
    <t xml:space="preserve">Indian T-bills (365-day), US T-bill (TBILLPRICE / TBILLYIELD / TBILLEQ), T-note and T-bond quoted in 32nds</t>
  </si>
  <si>
    <t xml:space="preserve">7 Accrued Interest</t>
  </si>
  <si>
    <t xml:space="preserve">COUPPCD / COUPNCD / COUPDAYBS / ACCRINT, clean vs dirty price, sawtooth chart</t>
  </si>
  <si>
    <t xml:space="preserve">8 Duration Convexity</t>
  </si>
  <si>
    <t xml:space="preserve">Macaulay &amp; modified duration (table + DURATION/MDURATION), convexity, short-cut formulas, approximation chart</t>
  </si>
  <si>
    <t xml:space="preserve">Excel functions used</t>
  </si>
  <si>
    <t xml:space="preserve">PV, RATE, SUM, SUMPRODUCT</t>
  </si>
  <si>
    <t xml:space="preserve">Cash-flow pricing and yields on coupon dates</t>
  </si>
  <si>
    <t xml:space="preserve">PRICE, YIELD</t>
  </si>
  <si>
    <t xml:space="preserve">Clean price per 100 and YTM between coupon dates (also YTC with call date and call price)</t>
  </si>
  <si>
    <t xml:space="preserve">ACCRINT, COUPPCD, COUPNCD, COUPDAYBS, COUPDAYS, COUPDAYSNC, COUPNUM</t>
  </si>
  <si>
    <t xml:space="preserve">Coupon calendar and accrued interest</t>
  </si>
  <si>
    <t xml:space="preserve">DURATION, MDURATION</t>
  </si>
  <si>
    <t xml:space="preserve">Macaulay and modified duration (Excel has no convexity function — built from the cash-flow table)</t>
  </si>
  <si>
    <t xml:space="preserve">TBILLPRICE, TBILLYIELD, TBILLEQ</t>
  </si>
  <si>
    <t xml:space="preserve">US T-bill price, money-market yield and bond-equivalent yield</t>
  </si>
  <si>
    <t xml:space="preserve">DOLLARDE, DOLLARFR</t>
  </si>
  <si>
    <t xml:space="preserve">Convert Treasury quotes in 32nds (98-16) to decimals (98.50) and back</t>
  </si>
  <si>
    <t xml:space="preserve">Educational use only. Prof. V. Ravichandran · The Mountain Path Academy · https://themountainpathacademy.com</t>
  </si>
  <si>
    <t xml:space="preserve">Sheet 1 · Pricing a coupon bond</t>
  </si>
  <si>
    <t xml:space="preserve">Price = present value of every coupon plus the redemption amount, discounted at the periodic yield.</t>
  </si>
  <si>
    <t xml:space="preserve">Inputs</t>
  </si>
  <si>
    <t xml:space="preserve">Cash-flow table</t>
  </si>
  <si>
    <t xml:space="preserve">Period t</t>
  </si>
  <si>
    <t xml:space="preserve">Time (yrs)</t>
  </si>
  <si>
    <t xml:space="preserve">Cash flow</t>
  </si>
  <si>
    <t xml:space="preserve">Discount factor</t>
  </si>
  <si>
    <t xml:space="preserve">PV of cash flow</t>
  </si>
  <si>
    <t xml:space="preserve">Annual coupon rate</t>
  </si>
  <si>
    <t xml:space="preserve">Payments per year (m)</t>
  </si>
  <si>
    <t xml:space="preserve">Years to maturity (T)</t>
  </si>
  <si>
    <t xml:space="preserve">Yield to maturity (annual, nominal)</t>
  </si>
  <si>
    <t xml:space="preserve">Settlement date (a coupon date)</t>
  </si>
  <si>
    <t xml:space="preserve">Maturity date</t>
  </si>
  <si>
    <t xml:space="preserve">Outputs</t>
  </si>
  <si>
    <t xml:space="preserve">Coupon per period  C = F·c/m</t>
  </si>
  <si>
    <t xml:space="preserve"> =B5*B6/B7</t>
  </si>
  <si>
    <t xml:space="preserve">Number of periods  n = m·T</t>
  </si>
  <si>
    <t xml:space="preserve"> =B7*B8</t>
  </si>
  <si>
    <t xml:space="preserve">Periodic yield  y/m</t>
  </si>
  <si>
    <t xml:space="preserve"> =B9/B7</t>
  </si>
  <si>
    <t xml:space="preserve">Price — sum of PVs (table)</t>
  </si>
  <si>
    <t xml:space="preserve"> =SUM(I6:I65)</t>
  </si>
  <si>
    <t xml:space="preserve">Price — PV function</t>
  </si>
  <si>
    <t xml:space="preserve"> =-PV(B16,B15,B14,B5)</t>
  </si>
  <si>
    <t xml:space="preserve">Price — PRICE function</t>
  </si>
  <si>
    <t xml:space="preserve"> =PRICE(B10,B11,B6,B9,100,B7,0)*B5/100</t>
  </si>
  <si>
    <t xml:space="preserve">Premium / par / discount?</t>
  </si>
  <si>
    <t xml:space="preserve"> =IF(ABS(B18-B5)&lt;0.005,"Par",IF(B18&gt;B5,"Premium","Discount"))</t>
  </si>
  <si>
    <t xml:space="preserve">Current yield  = annual coupon ÷ price</t>
  </si>
  <si>
    <t xml:space="preserve"> =B5*B6/B18</t>
  </si>
  <si>
    <t xml:space="preserve">YTM back from price (RATE)</t>
  </si>
  <si>
    <t xml:space="preserve"> =B7*RATE(B15,B14,-B18,B5)</t>
  </si>
  <si>
    <t xml:space="preserve">The table (E:I) handles up to 60 periods; rows beyond n show zero cash flow.</t>
  </si>
  <si>
    <t xml:space="preserve">Price–yield curve (10-year, semiannual, face 100)</t>
  </si>
  <si>
    <t xml:space="preserve">Yield</t>
  </si>
  <si>
    <t xml:space="preserve">0% coupon</t>
  </si>
  <si>
    <t xml:space="preserve">7% coupon</t>
  </si>
  <si>
    <t xml:space="preserve">12% coupon</t>
  </si>
  <si>
    <t xml:space="preserve">Sheet 2 · Zero-coupon bond</t>
  </si>
  <si>
    <t xml:space="preserve">One cash flow at maturity: price = F / (1 + y/m)^(m·T). Macaulay duration = maturity.</t>
  </si>
  <si>
    <t xml:space="preserve">Pull to par (yield unchanged)</t>
  </si>
  <si>
    <t xml:space="preserve">Years left</t>
  </si>
  <si>
    <t xml:space="preserve">Price</t>
  </si>
  <si>
    <t xml:space="preserve">Accretion in half-year</t>
  </si>
  <si>
    <t xml:space="preserve">Years to maturity</t>
  </si>
  <si>
    <t xml:space="preserve">Yield (annual, nominal)</t>
  </si>
  <si>
    <t xml:space="preserve">Compounding periods per year</t>
  </si>
  <si>
    <t xml:space="preserve">Observed market price (for yield)</t>
  </si>
  <si>
    <t xml:space="preserve">Price — formula</t>
  </si>
  <si>
    <t xml:space="preserve"> =B5/(1+B7/B8)^(B8*B6)</t>
  </si>
  <si>
    <t xml:space="preserve"> =-PV(B7/B8,B8*B6,0,B5)</t>
  </si>
  <si>
    <t xml:space="preserve">Discount from face</t>
  </si>
  <si>
    <t xml:space="preserve"> =B5-B12</t>
  </si>
  <si>
    <t xml:space="preserve">Yield from market price — formula</t>
  </si>
  <si>
    <t xml:space="preserve"> =B8*((B5/B9)^(1/(B8*B6))-1)</t>
  </si>
  <si>
    <t xml:space="preserve">Yield from market price — RATE</t>
  </si>
  <si>
    <t xml:space="preserve"> =B8*RATE(B8*B6,0,-B9,B5)</t>
  </si>
  <si>
    <t xml:space="preserve">Price with annual compounding</t>
  </si>
  <si>
    <t xml:space="preserve"> =B5/(1+B7)^B6</t>
  </si>
  <si>
    <t xml:space="preserve">Macaulay duration (years)</t>
  </si>
  <si>
    <t xml:space="preserve"> =B6</t>
  </si>
  <si>
    <t xml:space="preserve">Modified duration</t>
  </si>
  <si>
    <t xml:space="preserve"> =B6/(1+B7/B8)</t>
  </si>
  <si>
    <t xml:space="preserve">Sheet 3 · Floating-rate note (FRN)</t>
  </si>
  <si>
    <t xml:space="preserve">Coupon = reference rate + quoted margin; discount rate = reference rate + discount (required) margin. Reference rate held flat (standard simplification).</t>
  </si>
  <si>
    <t xml:space="preserve">Price vs discount margin</t>
  </si>
  <si>
    <t xml:space="preserve">Rate shock: FRN vs fixed</t>
  </si>
  <si>
    <t xml:space="preserve">DM</t>
  </si>
  <si>
    <t xml:space="preserve">FRN price</t>
  </si>
  <si>
    <t xml:space="preserve">Shift</t>
  </si>
  <si>
    <t xml:space="preserve">Fixed 3-yr</t>
  </si>
  <si>
    <t xml:space="preserve">FRN</t>
  </si>
  <si>
    <t xml:space="preserve">Reference rate (e.g., 3-month benchmark)</t>
  </si>
  <si>
    <t xml:space="preserve">Quoted margin (QM) — in the bond contract</t>
  </si>
  <si>
    <t xml:space="preserve">Discount margin (DM) — investors require now</t>
  </si>
  <si>
    <t xml:space="preserve">Resets / payments per year</t>
  </si>
  <si>
    <t xml:space="preserve">Coupon per period = (ref + QM)/m × F</t>
  </si>
  <si>
    <t xml:space="preserve"> =(B6+B7)/B9*B5</t>
  </si>
  <si>
    <t xml:space="preserve">Discount rate per period = (ref + DM)/m</t>
  </si>
  <si>
    <t xml:space="preserve"> =(B6+B8)/B9</t>
  </si>
  <si>
    <t xml:space="preserve">Number of periods</t>
  </si>
  <si>
    <t xml:space="preserve"> =B9*B10</t>
  </si>
  <si>
    <t xml:space="preserve"> =-PV(B14,B15,B13,B5)</t>
  </si>
  <si>
    <t xml:space="preserve">Price if DM = QM (check: par)</t>
  </si>
  <si>
    <t xml:space="preserve"> =-PV((B6+B7)/B9,B15,B13,B5)</t>
  </si>
  <si>
    <t xml:space="preserve">Rule: DM &gt; QM → discount; DM &lt; QM → premium</t>
  </si>
  <si>
    <t xml:space="preserve"> =IF(B8&gt;B7,"Discount",IF(B8&lt;B7,"Premium","Par"))</t>
  </si>
  <si>
    <t xml:space="preserve">Fixed: 3-yr bond, coupon 6.80% paid quarterly (= ref + QM today), repriced at 6.80% + shift.</t>
  </si>
  <si>
    <t xml:space="preserve">FRN: one quarter before reset, next coupon already fixed, then resets to market: price = (F + C)/(1 + (ref + shift + QM)/4).</t>
  </si>
  <si>
    <t xml:space="preserve">Sheet 4 · Convertible bond</t>
  </si>
  <si>
    <t xml:space="preserve">A convertible is worth at least the higher of its straight-bond value and its conversion value.</t>
  </si>
  <si>
    <t xml:space="preserve">Value vs share price</t>
  </si>
  <si>
    <t xml:space="preserve">Face value (₹)</t>
  </si>
  <si>
    <t xml:space="preserve">Share price</t>
  </si>
  <si>
    <t xml:space="preserve">Straight value</t>
  </si>
  <si>
    <t xml:space="preserve">Conversion value</t>
  </si>
  <si>
    <t xml:space="preserve">Minimum value</t>
  </si>
  <si>
    <t xml:space="preserve">Coupon rate (annual pay)</t>
  </si>
  <si>
    <t xml:space="preserve">Yield on comparable straight bond</t>
  </si>
  <si>
    <t xml:space="preserve">Conversion ratio (shares per bond)</t>
  </si>
  <si>
    <t xml:space="preserve">Current share price (₹)</t>
  </si>
  <si>
    <t xml:space="preserve">Market price of the convertible (₹)</t>
  </si>
  <si>
    <t xml:space="preserve">Dividend per share (₹ a year)</t>
  </si>
  <si>
    <t xml:space="preserve">Straight-bond value (floor)</t>
  </si>
  <si>
    <t xml:space="preserve"> =-PV(B8,B7,B5*B6,B5)</t>
  </si>
  <si>
    <t xml:space="preserve">Conversion price = face ÷ ratio</t>
  </si>
  <si>
    <t xml:space="preserve"> =B5/B9</t>
  </si>
  <si>
    <t xml:space="preserve">Conversion value = ratio × share price</t>
  </si>
  <si>
    <t xml:space="preserve">Minimum value = MAX(straight, conversion)</t>
  </si>
  <si>
    <t xml:space="preserve"> =MAX(B15,B17)</t>
  </si>
  <si>
    <t xml:space="preserve">Market conversion price = market price ÷ ratio</t>
  </si>
  <si>
    <t xml:space="preserve"> =B11/B9</t>
  </si>
  <si>
    <t xml:space="preserve">Conversion premium per share</t>
  </si>
  <si>
    <t xml:space="preserve"> =B19-B10</t>
  </si>
  <si>
    <t xml:space="preserve">Conversion premium ratio</t>
  </si>
  <si>
    <t xml:space="preserve"> =B20/B10</t>
  </si>
  <si>
    <t xml:space="preserve">Premium over straight value</t>
  </si>
  <si>
    <t xml:space="preserve"> =B11/B15-1</t>
  </si>
  <si>
    <t xml:space="preserve">Favourable income difference per bond (coupon − dividends)</t>
  </si>
  <si>
    <t xml:space="preserve"> =B5*B6-B9*B12</t>
  </si>
  <si>
    <t xml:space="preserve">Premium payback period (years)</t>
  </si>
  <si>
    <t xml:space="preserve"> =(B11-B17)/B23</t>
  </si>
  <si>
    <t xml:space="preserve">Sheet 5 · Yield to maturity, yield to call, yield to worst</t>
  </si>
  <si>
    <t xml:space="preserve">A premium callable bond: compute YIELD to maturity and to every call date; the lowest is the yield to worst.</t>
  </si>
  <si>
    <t xml:space="preserve">Call schedule</t>
  </si>
  <si>
    <t xml:space="preserve">Settlement date</t>
  </si>
  <si>
    <t xml:space="preserve">Call / maturity date</t>
  </si>
  <si>
    <t xml:space="preserve">Redemption price</t>
  </si>
  <si>
    <t xml:space="preserve">Yield (YIELD)</t>
  </si>
  <si>
    <t xml:space="preserve">Years</t>
  </si>
  <si>
    <t xml:space="preserve">Coupon rate</t>
  </si>
  <si>
    <t xml:space="preserve">Clean price (per 100)</t>
  </si>
  <si>
    <t xml:space="preserve">Payments per year</t>
  </si>
  <si>
    <t xml:space="preserve">Day-count basis (0 = 30/360)</t>
  </si>
  <si>
    <t xml:space="preserve">Label</t>
  </si>
  <si>
    <t xml:space="preserve">YTC 2029 @102</t>
  </si>
  <si>
    <t xml:space="preserve">YTM — YIELD</t>
  </si>
  <si>
    <t xml:space="preserve"> =YIELD(B5,B6,B7,B8,100,B9,B10)</t>
  </si>
  <si>
    <t xml:space="preserve">YTC 2031 @101</t>
  </si>
  <si>
    <t xml:space="preserve">YTM — RATE check (coupon date)</t>
  </si>
  <si>
    <t xml:space="preserve"> =B9*RATE(COUPNUM(B5,B6,B9,B10),100*B7/B9,-B8,100)</t>
  </si>
  <si>
    <t xml:space="preserve">YTC 2033 @100</t>
  </si>
  <si>
    <t xml:space="preserve">Current yield</t>
  </si>
  <si>
    <t xml:space="preserve"> =100*B7/B8</t>
  </si>
  <si>
    <t xml:space="preserve">YTM 2036 @100</t>
  </si>
  <si>
    <t xml:space="preserve">Yield to worst = MIN(YTM, all YTCs)</t>
  </si>
  <si>
    <t xml:space="preserve"> =MIN(B13,G6:G8)</t>
  </si>
  <si>
    <t xml:space="preserve">Worst-case redemption date</t>
  </si>
  <si>
    <t xml:space="preserve"> =INDEX(E6:E9,MATCH(B16,G6:G9,0))</t>
  </si>
  <si>
    <t xml:space="preserve">Sheet 6 · Money-market instruments and Treasury securities</t>
  </si>
  <si>
    <t xml:space="preserve">T-bills are discount instruments; T-notes (2–10 yrs) and T-bonds (20–30 yrs) pay semiannual coupons and are quoted in 32nds.</t>
  </si>
  <si>
    <t xml:space="preserve">A. Indian T-bills (yield on a 365-day basis)</t>
  </si>
  <si>
    <t xml:space="preserve">Tenor (days)</t>
  </si>
  <si>
    <t xml:space="preserve">Yield (input)</t>
  </si>
  <si>
    <t xml:space="preserve">Price per ₹100 = 100 / (1 + y·d/365)</t>
  </si>
  <si>
    <t xml:space="preserve">Auction cut-off price of a 91-day bill (₹)</t>
  </si>
  <si>
    <t xml:space="preserve">Implied yield = (100 − P)/P × 365/d</t>
  </si>
  <si>
    <t xml:space="preserve"> =(100-B10)/B10*365/91</t>
  </si>
  <si>
    <t xml:space="preserve">B. US T-bill (discount basis, 360 days)</t>
  </si>
  <si>
    <t xml:space="preserve">Three yields on the same T-bill</t>
  </si>
  <si>
    <t xml:space="preserve">Measure</t>
  </si>
  <si>
    <t xml:space="preserve">Maturity date (26-week bill)</t>
  </si>
  <si>
    <t xml:space="preserve">Discount rate</t>
  </si>
  <si>
    <t xml:space="preserve">Bank discount rate</t>
  </si>
  <si>
    <t xml:space="preserve">Money-market</t>
  </si>
  <si>
    <t xml:space="preserve">Days to maturity</t>
  </si>
  <si>
    <t xml:space="preserve"> =B15-B14</t>
  </si>
  <si>
    <t xml:space="preserve">Bond-equivalent</t>
  </si>
  <si>
    <t xml:space="preserve">Price — TBILLPRICE</t>
  </si>
  <si>
    <t xml:space="preserve"> =TBILLPRICE(B14,B15,B16)</t>
  </si>
  <si>
    <t xml:space="preserve">Price — formula 100(1 − d·t/360)</t>
  </si>
  <si>
    <t xml:space="preserve"> =100*(1-B16*B17/360)</t>
  </si>
  <si>
    <t xml:space="preserve">Money-market yield — TBILLYIELD</t>
  </si>
  <si>
    <t xml:space="preserve"> =TBILLYIELD(B14,B15,B18)</t>
  </si>
  <si>
    <t xml:space="preserve">Money-market yield — formula</t>
  </si>
  <si>
    <t xml:space="preserve"> =(100-B18)/B18*360/B17</t>
  </si>
  <si>
    <t xml:space="preserve">Bond-equivalent yield — TBILLEQ</t>
  </si>
  <si>
    <t xml:space="preserve"> =TBILLEQ(B14,B15,B16)</t>
  </si>
  <si>
    <t xml:space="preserve">Bond-equivalent yield — formula</t>
  </si>
  <si>
    <t xml:space="preserve"> =(100-B18)/B18*365/B17</t>
  </si>
  <si>
    <t xml:space="preserve">C. US T-note (10-year) quoted in 32nds</t>
  </si>
  <si>
    <t xml:space="preserve">Quote "98-16" typed as 98.16</t>
  </si>
  <si>
    <t xml:space="preserve">Clean price — DOLLARDE(quote, 32)</t>
  </si>
  <si>
    <t xml:space="preserve"> =DOLLARDE(B29,32)</t>
  </si>
  <si>
    <t xml:space="preserve">Yield — YIELD (basis 1 = Actual/Actual)</t>
  </si>
  <si>
    <t xml:space="preserve"> =YIELD(B26,B27,B28,B30,100,2,1)</t>
  </si>
  <si>
    <t xml:space="preserve">Accrued interest per 100</t>
  </si>
  <si>
    <t xml:space="preserve"> =100*B28/2*COUPDAYBS(B26,B27,2,1)/COUPDAYS(B26,B27,2,1)</t>
  </si>
  <si>
    <t xml:space="preserve">Dirty (invoice) price</t>
  </si>
  <si>
    <t xml:space="preserve"> =B30+B32</t>
  </si>
  <si>
    <t xml:space="preserve">D. US T-bond (30-year) quoted in 32nds</t>
  </si>
  <si>
    <t xml:space="preserve">Quote "95-08" typed as 95.08</t>
  </si>
  <si>
    <t xml:space="preserve"> =DOLLARDE(B39,32)</t>
  </si>
  <si>
    <t xml:space="preserve">Yield — YIELD</t>
  </si>
  <si>
    <t xml:space="preserve"> =YIELD(B36,B37,B38,B40,100,2,1)</t>
  </si>
  <si>
    <t xml:space="preserve"> =100*B38/2*COUPDAYBS(B36,B37,2,1)/COUPDAYS(B36,B37,2,1)</t>
  </si>
  <si>
    <t xml:space="preserve"> =B40+B42</t>
  </si>
  <si>
    <t xml:space="preserve">Back to 32nds — DOLLARFR(price, 32)</t>
  </si>
  <si>
    <t xml:space="preserve"> =DOLLARFR(B40,32)</t>
  </si>
  <si>
    <t xml:space="preserve">Sheet 7 · Accrued interest, clean price and dirty price</t>
  </si>
  <si>
    <t xml:space="preserve">Dirty (full) price = clean (quoted) price + accrued interest. Excel PRICE returns the clean price.</t>
  </si>
  <si>
    <t xml:space="preserve">Dirty price from cash flows: discount at (k − 1 + w) periods</t>
  </si>
  <si>
    <t xml:space="preserve">Yield to maturity</t>
  </si>
  <si>
    <t xml:space="preserve">Basis (0 = 30/360, Indian G-sec convention)</t>
  </si>
  <si>
    <t xml:space="preserve">Coupon calendar</t>
  </si>
  <si>
    <t xml:space="preserve">Previous coupon date</t>
  </si>
  <si>
    <t xml:space="preserve"> =COUPPCD(B5,B6,B9,B10)</t>
  </si>
  <si>
    <t xml:space="preserve">Next coupon date</t>
  </si>
  <si>
    <t xml:space="preserve"> =COUPNCD(B5,B6,B9,B10)</t>
  </si>
  <si>
    <t xml:space="preserve">Days accrued (A)</t>
  </si>
  <si>
    <t xml:space="preserve"> =COUPDAYBS(B5,B6,B9,B10)</t>
  </si>
  <si>
    <t xml:space="preserve">Days in coupon period (E)</t>
  </si>
  <si>
    <t xml:space="preserve"> =COUPDAYS(B5,B6,B9,B10)</t>
  </si>
  <si>
    <t xml:space="preserve">Days to next coupon (DSC)</t>
  </si>
  <si>
    <t xml:space="preserve"> =COUPDAYSNC(B5,B6,B9,B10)</t>
  </si>
  <si>
    <t xml:space="preserve">Coupons remaining (N)</t>
  </si>
  <si>
    <t xml:space="preserve"> =COUPNUM(B5,B6,B9,B10)</t>
  </si>
  <si>
    <t xml:space="preserve">Prices per 100</t>
  </si>
  <si>
    <t xml:space="preserve">Accrued interest = (c/m)·100·A/E</t>
  </si>
  <si>
    <t xml:space="preserve"> =100*B7/B9*B15/B16</t>
  </si>
  <si>
    <t xml:space="preserve">Accrued interest — ACCRINT</t>
  </si>
  <si>
    <t xml:space="preserve"> =ACCRINT(B13,B14,B5,B7,100,B9,B10)</t>
  </si>
  <si>
    <t xml:space="preserve">Clean price — PRICE</t>
  </si>
  <si>
    <t xml:space="preserve"> =PRICE(B5,B6,B7,B8,100,B9,B10)</t>
  </si>
  <si>
    <t xml:space="preserve">Dirty price = clean + accrued</t>
  </si>
  <si>
    <t xml:space="preserve"> =B23+B21</t>
  </si>
  <si>
    <t xml:space="preserve">Dirty price — PV of cash flows (table)</t>
  </si>
  <si>
    <t xml:space="preserve"> =SUM(H29:H48)</t>
  </si>
  <si>
    <t xml:space="preserve">Fraction of period to next coupon  w = DSC/E</t>
  </si>
  <si>
    <t xml:space="preserve"> =B17/B16</t>
  </si>
  <si>
    <t xml:space="preserve">Coupon k</t>
  </si>
  <si>
    <t xml:space="preserve">Periods</t>
  </si>
  <si>
    <t xml:space="preserve">PV</t>
  </si>
  <si>
    <t xml:space="preserve">Sawtooth: settle every 5 days, yield unchanged</t>
  </si>
  <si>
    <t xml:space="preserve">Settlement</t>
  </si>
  <si>
    <t xml:space="preserve">Clean</t>
  </si>
  <si>
    <t xml:space="preserve">Accrued</t>
  </si>
  <si>
    <t xml:space="preserve">Dirty</t>
  </si>
  <si>
    <t xml:space="preserve">Sheet 8 · Macaulay duration, modified duration and convexity</t>
  </si>
  <si>
    <t xml:space="preserve">Same bond as Sheet 1: 10-year, 7% semiannual coupon, YTM 7.50%, settled on a coupon date.</t>
  </si>
  <si>
    <t xml:space="preserve">Inputs (linked to Sheet 1)</t>
  </si>
  <si>
    <t xml:space="preserve">Duration &amp; convexity table</t>
  </si>
  <si>
    <t xml:space="preserve">Exact vs approximations</t>
  </si>
  <si>
    <t xml:space="preserve">Weight</t>
  </si>
  <si>
    <t xml:space="preserve">t × PV</t>
  </si>
  <si>
    <t xml:space="preserve">t(t+1) × PV</t>
  </si>
  <si>
    <t xml:space="preserve">Δy</t>
  </si>
  <si>
    <t xml:space="preserve">Exact price</t>
  </si>
  <si>
    <t xml:space="preserve">Duration only</t>
  </si>
  <si>
    <t xml:space="preserve">Duration + convexity</t>
  </si>
  <si>
    <t xml:space="preserve">Error (D+C)</t>
  </si>
  <si>
    <t xml:space="preserve">Maturity</t>
  </si>
  <si>
    <t xml:space="preserve">Short-cut yield bump Δy</t>
  </si>
  <si>
    <t xml:space="preserve">From the cash-flow table</t>
  </si>
  <si>
    <t xml:space="preserve">Price P (Σ PV)</t>
  </si>
  <si>
    <t xml:space="preserve"> =SUM(H6:H65)</t>
  </si>
  <si>
    <t xml:space="preserve">Macaulay duration (years) = Σ t·PV / P ÷ m</t>
  </si>
  <si>
    <t xml:space="preserve"> =SUM(J6:J65)/B15/B7</t>
  </si>
  <si>
    <t xml:space="preserve">Modified duration = MacD / (1 + y/m)</t>
  </si>
  <si>
    <t xml:space="preserve"> =B16/(1+B9/B7)</t>
  </si>
  <si>
    <t xml:space="preserve">Convexity (years²) = Σ t(t+1)·PV / (1+y/m)² / P ÷ m²</t>
  </si>
  <si>
    <t xml:space="preserve"> =SUM(K6:K65)/(1+B9/B7)^2/B15/B7^2</t>
  </si>
  <si>
    <t xml:space="preserve">DV01 = ModD × P × 0.0001 (per 100 face)</t>
  </si>
  <si>
    <t xml:space="preserve"> =B17*B15*0.0001</t>
  </si>
  <si>
    <t xml:space="preserve">Excel built-in functions</t>
  </si>
  <si>
    <t xml:space="preserve">DURATION (Macaulay)</t>
  </si>
  <si>
    <t xml:space="preserve"> =DURATION(B10,B11,B6,B9,B7,0)</t>
  </si>
  <si>
    <t xml:space="preserve">MDURATION (modified)</t>
  </si>
  <si>
    <t xml:space="preserve"> =MDURATION(B10,B11,B6,B9,B7,0)</t>
  </si>
  <si>
    <t xml:space="preserve">Excel has no convexity function — use the table above or the short-cut below.</t>
  </si>
  <si>
    <t xml:space="preserve">Short-cut (effective) formulas</t>
  </si>
  <si>
    <t xml:space="preserve">V− = price at y − Δy</t>
  </si>
  <si>
    <t xml:space="preserve"> =-PV((B9-B12)/B7,B7*B8,B5*B6/B7,B5)</t>
  </si>
  <si>
    <t xml:space="preserve">V0 = price at y</t>
  </si>
  <si>
    <t xml:space="preserve"> =-PV(B9/B7,B7*B8,B5*B6/B7,B5)</t>
  </si>
  <si>
    <t xml:space="preserve">V+ = price at y + Δy</t>
  </si>
  <si>
    <t xml:space="preserve"> =-PV((B9+B12)/B7,B7*B8,B5*B6/B7,B5)</t>
  </si>
  <si>
    <t xml:space="preserve">Approx. duration = (V− − V+) / (2·V0·Δy)</t>
  </si>
  <si>
    <t xml:space="preserve"> =(B27-B29)/(2*B28*B12)</t>
  </si>
  <si>
    <t xml:space="preserve">Approx. convexity = (V− + V+ − 2·V0) / (V0·Δy²)</t>
  </si>
  <si>
    <t xml:space="preserve"> =(B27+B29-2*B28)/(B28*B12^2)</t>
  </si>
  <si>
    <t xml:space="preserve">Predict a yield shock</t>
  </si>
  <si>
    <t xml:space="preserve">Yield change (Δy)</t>
  </si>
  <si>
    <t xml:space="preserve">Duration effect = −ModD·Δy</t>
  </si>
  <si>
    <t xml:space="preserve"> =-B30*B34</t>
  </si>
  <si>
    <t xml:space="preserve">Convexity effect = ½·C·Δy²</t>
  </si>
  <si>
    <t xml:space="preserve"> =0.5*B31*B34^2</t>
  </si>
  <si>
    <t xml:space="preserve">Estimated % change</t>
  </si>
  <si>
    <t xml:space="preserve"> =B35+B36</t>
  </si>
  <si>
    <t xml:space="preserve">Estimated new price</t>
  </si>
  <si>
    <t xml:space="preserve"> =B28*(1+B37)</t>
  </si>
  <si>
    <t xml:space="preserve">Exact new price (full repricing)</t>
  </si>
  <si>
    <t xml:space="preserve"> =-PV((B9+B34)/B7,B7*B8,B5*B6/B7,B5)</t>
  </si>
  <si>
    <t xml:space="preserve">Estimation error</t>
  </si>
  <si>
    <t xml:space="preserve"> =B38-B39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</si>
</sst>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.00%"/>
    <numFmt numFmtId="167" formatCode="0"/>
    <numFmt numFmtId="168" formatCode="0.00"/>
    <numFmt numFmtId="169" formatCode="#,##0.0000"/>
    <numFmt numFmtId="170" formatCode="0.000000"/>
    <numFmt numFmtId="171" formatCode="dd\-mmm\-yyyy"/>
    <numFmt numFmtId="172" formatCode="0.0000%"/>
    <numFmt numFmtId="173" formatCode="0%"/>
    <numFmt numFmtId="174" formatCode="0.0"/>
    <numFmt numFmtId="175" formatCode="0.0%"/>
    <numFmt numFmtId="176" formatCode="0.000%"/>
    <numFmt numFmtId="177" formatCode="mmm\-yy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23A63"/>
      <name val="Arial"/>
      <family val="0"/>
      <charset val="1"/>
    </font>
    <font>
      <i val="true"/>
      <sz val="10"/>
      <color rgb="FF565C66"/>
      <name val="Arial"/>
      <family val="0"/>
      <charset val="1"/>
    </font>
    <font>
      <b val="true"/>
      <sz val="11"/>
      <color rgb="FF123A63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22262C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8E2130"/>
      <name val="Consolas"/>
      <family val="0"/>
      <charset val="1"/>
    </font>
    <font>
      <b val="true"/>
      <sz val="10"/>
      <color rgb="FF123A63"/>
      <name val="Arial"/>
      <family val="0"/>
      <charset val="1"/>
    </font>
    <font>
      <sz val="10"/>
      <color rgb="FF8E2130"/>
      <name val="Consolas"/>
      <family val="0"/>
      <charset val="1"/>
    </font>
    <font>
      <i val="true"/>
      <sz val="9"/>
      <color rgb="FF565C66"/>
      <name val="Arial"/>
      <family val="0"/>
      <charset val="1"/>
    </font>
    <font>
      <b val="true"/>
      <sz val="16"/>
      <color rgb="FF123A63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9"/>
      <color rgb="FF8E2130"/>
      <name val="Consolas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sz val="10"/>
      <color rgb="FF008000"/>
      <name val="Arial"/>
      <family val="0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7F1E8"/>
        <bgColor rgb="FFF8F0D6"/>
      </patternFill>
    </fill>
    <fill>
      <patternFill patternType="solid">
        <fgColor rgb="FFF8F0D6"/>
        <bgColor rgb="FFE7F1E8"/>
      </patternFill>
    </fill>
    <fill>
      <patternFill patternType="solid">
        <fgColor rgb="FF123A63"/>
        <bgColor rgb="FF22262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2C2"/>
      </left>
      <right style="thin">
        <color rgb="FFD9D2C2"/>
      </right>
      <top style="thin">
        <color rgb="FFD9D2C2"/>
      </top>
      <bottom style="thin">
        <color rgb="FFD9D2C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2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2C2"/>
      <rgbColor rgb="FF878787"/>
      <rgbColor rgb="FF9999FF"/>
      <rgbColor rgb="FF993366"/>
      <rgbColor rgb="FFF8F0D6"/>
      <rgbColor rgb="FFE7F1E8"/>
      <rgbColor rgb="FF660066"/>
      <rgbColor rgb="FFFF8080"/>
      <rgbColor rgb="FF1F6FB2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0972F"/>
      <rgbColor rgb="FFFF6600"/>
      <rgbColor rgb="FF565C66"/>
      <rgbColor rgb="FF8A8F99"/>
      <rgbColor rgb="FF123A63"/>
      <rgbColor rgb="FF2F8F6B"/>
      <rgbColor rgb="FF003300"/>
      <rgbColor rgb="FF333300"/>
      <rgbColor rgb="FF8E2130"/>
      <rgbColor rgb="FF993366"/>
      <rgbColor rgb="FF333399"/>
      <rgbColor rgb="FF22262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Price–yield: lower coupon = more convex, more sensitive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"/>
        <c:varyColors val="0"/>
        <c:ser>
          <c:idx val="0"/>
          <c:order val="0"/>
          <c:tx>
            <c:strRef>
              <c:f>'1 Coupon Bond'!L27</c:f>
              <c:strCache>
                <c:ptCount val="1"/>
                <c:pt idx="0">
                  <c:v>0% coupon</c:v>
                </c:pt>
              </c:strCache>
            </c:strRef>
          </c:tx>
          <c:spPr>
            <a:solidFill>
              <a:srgbClr val="8e2130"/>
            </a:solidFill>
            <a:ln w="28080">
              <a:solidFill>
                <a:srgbClr val="8e213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'1 Coupon Bond'!$K$28:$K$52</c:f>
              <c:numCache>
                <c:formatCode>0.00%</c:formatCode>
                <c:ptCount val="25"/>
                <c:pt idx="0">
                  <c:v>0.02</c:v>
                </c:pt>
                <c:pt idx="1">
                  <c:v>0.025</c:v>
                </c:pt>
                <c:pt idx="2">
                  <c:v>0.03</c:v>
                </c:pt>
                <c:pt idx="3">
                  <c:v>0.035</c:v>
                </c:pt>
                <c:pt idx="4">
                  <c:v>0.04</c:v>
                </c:pt>
                <c:pt idx="5">
                  <c:v>0.045</c:v>
                </c:pt>
                <c:pt idx="6">
                  <c:v>0.05</c:v>
                </c:pt>
                <c:pt idx="7">
                  <c:v>0.055</c:v>
                </c:pt>
                <c:pt idx="8">
                  <c:v>0.06</c:v>
                </c:pt>
                <c:pt idx="9">
                  <c:v>0.065</c:v>
                </c:pt>
                <c:pt idx="10">
                  <c:v>0.07</c:v>
                </c:pt>
                <c:pt idx="11">
                  <c:v>0.075</c:v>
                </c:pt>
                <c:pt idx="12">
                  <c:v>0.08</c:v>
                </c:pt>
                <c:pt idx="13">
                  <c:v>0.085</c:v>
                </c:pt>
                <c:pt idx="14">
                  <c:v>0.09</c:v>
                </c:pt>
                <c:pt idx="15">
                  <c:v>0.095</c:v>
                </c:pt>
                <c:pt idx="16">
                  <c:v>0.1</c:v>
                </c:pt>
                <c:pt idx="17">
                  <c:v>0.105</c:v>
                </c:pt>
                <c:pt idx="18">
                  <c:v>0.11</c:v>
                </c:pt>
                <c:pt idx="19">
                  <c:v>0.115</c:v>
                </c:pt>
                <c:pt idx="20">
                  <c:v>0.12</c:v>
                </c:pt>
                <c:pt idx="21">
                  <c:v>0.125</c:v>
                </c:pt>
                <c:pt idx="22">
                  <c:v>0.13</c:v>
                </c:pt>
                <c:pt idx="23">
                  <c:v>0.135</c:v>
                </c:pt>
                <c:pt idx="24">
                  <c:v>0.14</c:v>
                </c:pt>
              </c:numCache>
            </c:numRef>
          </c:xVal>
          <c:yVal>
            <c:numRef>
              <c:f>'1 Coupon Bond'!$L$28:$L$52</c:f>
              <c:numCache>
                <c:formatCode>#,##0.00</c:formatCode>
                <c:ptCount val="25"/>
                <c:pt idx="0">
                  <c:v>81.9544470337295</c:v>
                </c:pt>
                <c:pt idx="1">
                  <c:v>78.0008548322181</c:v>
                </c:pt>
                <c:pt idx="2">
                  <c:v>74.2470418223772</c:v>
                </c:pt>
                <c:pt idx="3">
                  <c:v>70.682457716687</c:v>
                </c:pt>
                <c:pt idx="4">
                  <c:v>67.2971333108058</c:v>
                </c:pt>
                <c:pt idx="5">
                  <c:v>64.0816471675542</c:v>
                </c:pt>
                <c:pt idx="6">
                  <c:v>61.0270942858831</c:v>
                </c:pt>
                <c:pt idx="7">
                  <c:v>58.125056632117</c:v>
                </c:pt>
                <c:pt idx="8">
                  <c:v>55.3675754186335</c:v>
                </c:pt>
                <c:pt idx="9">
                  <c:v>52.7471250224638</c:v>
                </c:pt>
                <c:pt idx="10">
                  <c:v>50.2565884431671</c:v>
                </c:pt>
                <c:pt idx="11">
                  <c:v>47.8892342057169</c:v>
                </c:pt>
                <c:pt idx="12">
                  <c:v>45.6386946201292</c:v>
                </c:pt>
                <c:pt idx="13">
                  <c:v>43.4989453151382</c:v>
                </c:pt>
                <c:pt idx="14">
                  <c:v>41.4642859684584</c:v>
                </c:pt>
                <c:pt idx="15">
                  <c:v>39.5293221610406</c:v>
                </c:pt>
                <c:pt idx="16">
                  <c:v>37.6889482873</c:v>
                </c:pt>
                <c:pt idx="17">
                  <c:v>35.9383314575531</c:v>
                </c:pt>
                <c:pt idx="18">
                  <c:v>34.2728963328944</c:v>
                </c:pt>
                <c:pt idx="19">
                  <c:v>32.6883108364719</c:v>
                </c:pt>
                <c:pt idx="20">
                  <c:v>31.1804726886084</c:v>
                </c:pt>
                <c:pt idx="21">
                  <c:v>29.7454967164831</c:v>
                </c:pt>
                <c:pt idx="22">
                  <c:v>28.379702892142</c:v>
                </c:pt>
                <c:pt idx="23">
                  <c:v>27.0796050554641</c:v>
                </c:pt>
                <c:pt idx="24">
                  <c:v>25.8419002813868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'1 Coupon Bond'!M27</c:f>
              <c:strCache>
                <c:ptCount val="1"/>
                <c:pt idx="0">
                  <c:v>7% coupon</c:v>
                </c:pt>
              </c:strCache>
            </c:strRef>
          </c:tx>
          <c:spPr>
            <a:solidFill>
              <a:srgbClr val="1f6fb2"/>
            </a:solidFill>
            <a:ln w="28080">
              <a:solidFill>
                <a:srgbClr val="1f6fb2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'1 Coupon Bond'!$K$28:$K$52</c:f>
              <c:numCache>
                <c:formatCode>0.00%</c:formatCode>
                <c:ptCount val="25"/>
                <c:pt idx="0">
                  <c:v>0.02</c:v>
                </c:pt>
                <c:pt idx="1">
                  <c:v>0.025</c:v>
                </c:pt>
                <c:pt idx="2">
                  <c:v>0.03</c:v>
                </c:pt>
                <c:pt idx="3">
                  <c:v>0.035</c:v>
                </c:pt>
                <c:pt idx="4">
                  <c:v>0.04</c:v>
                </c:pt>
                <c:pt idx="5">
                  <c:v>0.045</c:v>
                </c:pt>
                <c:pt idx="6">
                  <c:v>0.05</c:v>
                </c:pt>
                <c:pt idx="7">
                  <c:v>0.055</c:v>
                </c:pt>
                <c:pt idx="8">
                  <c:v>0.06</c:v>
                </c:pt>
                <c:pt idx="9">
                  <c:v>0.065</c:v>
                </c:pt>
                <c:pt idx="10">
                  <c:v>0.07</c:v>
                </c:pt>
                <c:pt idx="11">
                  <c:v>0.075</c:v>
                </c:pt>
                <c:pt idx="12">
                  <c:v>0.08</c:v>
                </c:pt>
                <c:pt idx="13">
                  <c:v>0.085</c:v>
                </c:pt>
                <c:pt idx="14">
                  <c:v>0.09</c:v>
                </c:pt>
                <c:pt idx="15">
                  <c:v>0.095</c:v>
                </c:pt>
                <c:pt idx="16">
                  <c:v>0.1</c:v>
                </c:pt>
                <c:pt idx="17">
                  <c:v>0.105</c:v>
                </c:pt>
                <c:pt idx="18">
                  <c:v>0.11</c:v>
                </c:pt>
                <c:pt idx="19">
                  <c:v>0.115</c:v>
                </c:pt>
                <c:pt idx="20">
                  <c:v>0.12</c:v>
                </c:pt>
                <c:pt idx="21">
                  <c:v>0.125</c:v>
                </c:pt>
                <c:pt idx="22">
                  <c:v>0.13</c:v>
                </c:pt>
                <c:pt idx="23">
                  <c:v>0.135</c:v>
                </c:pt>
                <c:pt idx="24">
                  <c:v>0.14</c:v>
                </c:pt>
              </c:numCache>
            </c:numRef>
          </c:xVal>
          <c:yVal>
            <c:numRef>
              <c:f>'1 Coupon Bond'!$M$28:$M$52</c:f>
              <c:numCache>
                <c:formatCode>#,##0.00</c:formatCode>
                <c:ptCount val="25"/>
                <c:pt idx="0">
                  <c:v>145.113882415676</c:v>
                </c:pt>
                <c:pt idx="1">
                  <c:v>139.598461302007</c:v>
                </c:pt>
                <c:pt idx="2">
                  <c:v>134.337277570164</c:v>
                </c:pt>
                <c:pt idx="3">
                  <c:v>129.317542283313</c:v>
                </c:pt>
                <c:pt idx="4">
                  <c:v>124.527150016896</c:v>
                </c:pt>
                <c:pt idx="5">
                  <c:v>119.95464046247</c:v>
                </c:pt>
                <c:pt idx="6">
                  <c:v>115.589162285647</c:v>
                </c:pt>
                <c:pt idx="7">
                  <c:v>111.420439100332</c:v>
                </c:pt>
                <c:pt idx="8">
                  <c:v>107.438737430228</c:v>
                </c:pt>
                <c:pt idx="9">
                  <c:v>103.634836536734</c:v>
                </c:pt>
                <c:pt idx="10">
                  <c:v>100</c:v>
                </c:pt>
                <c:pt idx="11">
                  <c:v>96.5259489470478</c:v>
                </c:pt>
                <c:pt idx="12">
                  <c:v>93.2048368275162</c:v>
                </c:pt>
                <c:pt idx="13">
                  <c:v>90.0292256438479</c:v>
                </c:pt>
                <c:pt idx="14">
                  <c:v>86.9920635485463</c:v>
                </c:pt>
                <c:pt idx="15">
                  <c:v>84.0866637265896</c:v>
                </c:pt>
                <c:pt idx="16">
                  <c:v>81.30668448619</c:v>
                </c:pt>
                <c:pt idx="17">
                  <c:v>78.646110485851</c:v>
                </c:pt>
                <c:pt idx="18">
                  <c:v>76.0992350301434</c:v>
                </c:pt>
                <c:pt idx="19">
                  <c:v>73.6606433707933</c:v>
                </c:pt>
                <c:pt idx="20">
                  <c:v>71.3251969535869</c:v>
                </c:pt>
                <c:pt idx="21">
                  <c:v>69.0880185552526</c:v>
                </c:pt>
                <c:pt idx="22">
                  <c:v>66.9444782579117</c:v>
                </c:pt>
                <c:pt idx="23">
                  <c:v>64.8901802118901</c:v>
                </c:pt>
                <c:pt idx="24">
                  <c:v>62.9209501406934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'1 Coupon Bond'!N27</c:f>
              <c:strCache>
                <c:ptCount val="1"/>
                <c:pt idx="0">
                  <c:v>12% coupon</c:v>
                </c:pt>
              </c:strCache>
            </c:strRef>
          </c:tx>
          <c:spPr>
            <a:solidFill>
              <a:srgbClr val="2f8f6b"/>
            </a:solidFill>
            <a:ln w="28080">
              <a:solidFill>
                <a:srgbClr val="2f8f6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'1 Coupon Bond'!$K$28:$K$52</c:f>
              <c:numCache>
                <c:formatCode>0.00%</c:formatCode>
                <c:ptCount val="25"/>
                <c:pt idx="0">
                  <c:v>0.02</c:v>
                </c:pt>
                <c:pt idx="1">
                  <c:v>0.025</c:v>
                </c:pt>
                <c:pt idx="2">
                  <c:v>0.03</c:v>
                </c:pt>
                <c:pt idx="3">
                  <c:v>0.035</c:v>
                </c:pt>
                <c:pt idx="4">
                  <c:v>0.04</c:v>
                </c:pt>
                <c:pt idx="5">
                  <c:v>0.045</c:v>
                </c:pt>
                <c:pt idx="6">
                  <c:v>0.05</c:v>
                </c:pt>
                <c:pt idx="7">
                  <c:v>0.055</c:v>
                </c:pt>
                <c:pt idx="8">
                  <c:v>0.06</c:v>
                </c:pt>
                <c:pt idx="9">
                  <c:v>0.065</c:v>
                </c:pt>
                <c:pt idx="10">
                  <c:v>0.07</c:v>
                </c:pt>
                <c:pt idx="11">
                  <c:v>0.075</c:v>
                </c:pt>
                <c:pt idx="12">
                  <c:v>0.08</c:v>
                </c:pt>
                <c:pt idx="13">
                  <c:v>0.085</c:v>
                </c:pt>
                <c:pt idx="14">
                  <c:v>0.09</c:v>
                </c:pt>
                <c:pt idx="15">
                  <c:v>0.095</c:v>
                </c:pt>
                <c:pt idx="16">
                  <c:v>0.1</c:v>
                </c:pt>
                <c:pt idx="17">
                  <c:v>0.105</c:v>
                </c:pt>
                <c:pt idx="18">
                  <c:v>0.11</c:v>
                </c:pt>
                <c:pt idx="19">
                  <c:v>0.115</c:v>
                </c:pt>
                <c:pt idx="20">
                  <c:v>0.12</c:v>
                </c:pt>
                <c:pt idx="21">
                  <c:v>0.125</c:v>
                </c:pt>
                <c:pt idx="22">
                  <c:v>0.13</c:v>
                </c:pt>
                <c:pt idx="23">
                  <c:v>0.135</c:v>
                </c:pt>
                <c:pt idx="24">
                  <c:v>0.14</c:v>
                </c:pt>
              </c:numCache>
            </c:numRef>
          </c:xVal>
          <c:yVal>
            <c:numRef>
              <c:f>'1 Coupon Bond'!$N$28:$N$52</c:f>
              <c:numCache>
                <c:formatCode>#,##0.00</c:formatCode>
                <c:ptCount val="25"/>
                <c:pt idx="0">
                  <c:v>190.227764831352</c:v>
                </c:pt>
                <c:pt idx="1">
                  <c:v>183.596751637571</c:v>
                </c:pt>
                <c:pt idx="2">
                  <c:v>177.258874532868</c:v>
                </c:pt>
                <c:pt idx="3">
                  <c:v>171.199745545189</c:v>
                </c:pt>
                <c:pt idx="4">
                  <c:v>165.405733378389</c:v>
                </c:pt>
                <c:pt idx="5">
                  <c:v>159.86392138741</c:v>
                </c:pt>
                <c:pt idx="6">
                  <c:v>154.562067999764</c:v>
                </c:pt>
                <c:pt idx="7">
                  <c:v>149.488569434771</c:v>
                </c:pt>
                <c:pt idx="8">
                  <c:v>144.632424581367</c:v>
                </c:pt>
                <c:pt idx="9">
                  <c:v>139.983201904069</c:v>
                </c:pt>
                <c:pt idx="10">
                  <c:v>135.531008254881</c:v>
                </c:pt>
                <c:pt idx="11">
                  <c:v>131.26645947657</c:v>
                </c:pt>
                <c:pt idx="12">
                  <c:v>127.180652689935</c:v>
                </c:pt>
                <c:pt idx="13">
                  <c:v>123.265140164355</c:v>
                </c:pt>
                <c:pt idx="14">
                  <c:v>119.511904677181</c:v>
                </c:pt>
                <c:pt idx="15">
                  <c:v>115.91333627341</c:v>
                </c:pt>
                <c:pt idx="16">
                  <c:v>112.46221034254</c:v>
                </c:pt>
                <c:pt idx="17">
                  <c:v>109.151666934635</c:v>
                </c:pt>
                <c:pt idx="18">
                  <c:v>105.975191242464</c:v>
                </c:pt>
                <c:pt idx="19">
                  <c:v>102.926595181023</c:v>
                </c:pt>
                <c:pt idx="20">
                  <c:v>100</c:v>
                </c:pt>
                <c:pt idx="21">
                  <c:v>97.1898198686593</c:v>
                </c:pt>
                <c:pt idx="22">
                  <c:v>94.4907463763186</c:v>
                </c:pt>
                <c:pt idx="23">
                  <c:v>91.8977338950516</c:v>
                </c:pt>
                <c:pt idx="24">
                  <c:v>89.4059857544838</c:v>
                </c:pt>
              </c:numCache>
            </c:numRef>
          </c:yVal>
          <c:smooth val="0"/>
        </c:ser>
        <c:axId val="47708126"/>
        <c:axId val="57716258"/>
      </c:scatterChart>
      <c:valAx>
        <c:axId val="47708126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Yield to maturity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7716258"/>
        <c:crosses val="autoZero"/>
        <c:crossBetween val="midCat"/>
      </c:valAx>
      <c:valAx>
        <c:axId val="5771625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Price (per 100)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7708126"/>
        <c:crosses val="autoZero"/>
        <c:crossBetween val="midCat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Zero-coupon bond accretes to face value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"/>
        <c:varyColors val="0"/>
        <c:ser>
          <c:idx val="0"/>
          <c:order val="0"/>
          <c:tx>
            <c:strRef>
              <c:f>'2 Zero Coupon'!F5</c:f>
              <c:strCache>
                <c:ptCount val="1"/>
                <c:pt idx="0">
                  <c:v>Price</c:v>
                </c:pt>
              </c:strCache>
            </c:strRef>
          </c:tx>
          <c:spPr>
            <a:solidFill>
              <a:srgbClr val="1f6fb2"/>
            </a:solidFill>
            <a:ln w="28080">
              <a:solidFill>
                <a:srgbClr val="1f6fb2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'2 Zero Coupon'!$E$6:$E$16</c:f>
              <c:numCache>
                <c:formatCode>0.0</c:formatCode>
                <c:ptCount val="11"/>
                <c:pt idx="0">
                  <c:v>5</c:v>
                </c:pt>
                <c:pt idx="1">
                  <c:v>4.5</c:v>
                </c:pt>
                <c:pt idx="2">
                  <c:v>4</c:v>
                </c:pt>
                <c:pt idx="3">
                  <c:v>3.5</c:v>
                </c:pt>
                <c:pt idx="4">
                  <c:v>3</c:v>
                </c:pt>
                <c:pt idx="5">
                  <c:v>2.5</c:v>
                </c:pt>
                <c:pt idx="6">
                  <c:v>2</c:v>
                </c:pt>
                <c:pt idx="7">
                  <c:v>1.5</c:v>
                </c:pt>
                <c:pt idx="8">
                  <c:v>1</c:v>
                </c:pt>
                <c:pt idx="9">
                  <c:v>0.5</c:v>
                </c:pt>
                <c:pt idx="10">
                  <c:v>0</c:v>
                </c:pt>
              </c:numCache>
            </c:numRef>
          </c:xVal>
          <c:yVal>
            <c:numRef>
              <c:f>'2 Zero Coupon'!$F$6:$F$16</c:f>
              <c:numCache>
                <c:formatCode>#,##0.0000</c:formatCode>
                <c:ptCount val="11"/>
                <c:pt idx="0">
                  <c:v>70.8918813709772</c:v>
                </c:pt>
                <c:pt idx="1">
                  <c:v>73.3730972189614</c:v>
                </c:pt>
                <c:pt idx="2">
                  <c:v>75.9411556216251</c:v>
                </c:pt>
                <c:pt idx="3">
                  <c:v>78.5990960683819</c:v>
                </c:pt>
                <c:pt idx="4">
                  <c:v>81.3500644307753</c:v>
                </c:pt>
                <c:pt idx="5">
                  <c:v>84.1973166858524</c:v>
                </c:pt>
                <c:pt idx="6">
                  <c:v>87.1442227698572</c:v>
                </c:pt>
                <c:pt idx="7">
                  <c:v>90.1942705668022</c:v>
                </c:pt>
                <c:pt idx="8">
                  <c:v>93.3510700366403</c:v>
                </c:pt>
                <c:pt idx="9">
                  <c:v>96.6183574879227</c:v>
                </c:pt>
                <c:pt idx="10">
                  <c:v>100</c:v>
                </c:pt>
              </c:numCache>
            </c:numRef>
          </c:yVal>
          <c:smooth val="0"/>
        </c:ser>
        <c:axId val="91103458"/>
        <c:axId val="9153471"/>
      </c:scatterChart>
      <c:valAx>
        <c:axId val="91103458"/>
        <c:scaling>
          <c:orientation val="maxMin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Years to maturity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153471"/>
        <c:crosses val="autoZero"/>
        <c:crossBetween val="midCat"/>
      </c:valAx>
      <c:valAx>
        <c:axId val="9153471"/>
        <c:scaling>
          <c:orientation val="minMax"/>
          <c:max val="100"/>
          <c:min val="65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Price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1103458"/>
        <c:crosses val="autoZero"/>
        <c:crossBetween val="midCat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An FRN barely moves when rates move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"/>
        <c:varyColors val="0"/>
        <c:ser>
          <c:idx val="0"/>
          <c:order val="0"/>
          <c:tx>
            <c:strRef>
              <c:f>'3 FRN'!J5</c:f>
              <c:strCache>
                <c:ptCount val="1"/>
                <c:pt idx="0">
                  <c:v>Fixed 3-yr</c:v>
                </c:pt>
              </c:strCache>
            </c:strRef>
          </c:tx>
          <c:spPr>
            <a:solidFill>
              <a:srgbClr val="8e2130"/>
            </a:solidFill>
            <a:ln w="28080">
              <a:solidFill>
                <a:srgbClr val="8e213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'3 FRN'!$I$6:$I$14</c:f>
              <c:numCache>
                <c:formatCode>0.00%</c:formatCode>
                <c:ptCount val="9"/>
                <c:pt idx="0">
                  <c:v>-0.02</c:v>
                </c:pt>
                <c:pt idx="1">
                  <c:v>-0.015</c:v>
                </c:pt>
                <c:pt idx="2">
                  <c:v>-0.01</c:v>
                </c:pt>
                <c:pt idx="3">
                  <c:v>-0.005</c:v>
                </c:pt>
                <c:pt idx="4">
                  <c:v>0</c:v>
                </c:pt>
                <c:pt idx="5">
                  <c:v>0.005</c:v>
                </c:pt>
                <c:pt idx="6">
                  <c:v>0.01</c:v>
                </c:pt>
                <c:pt idx="7">
                  <c:v>0.015</c:v>
                </c:pt>
                <c:pt idx="8">
                  <c:v>0.02</c:v>
                </c:pt>
              </c:numCache>
            </c:numRef>
          </c:xVal>
          <c:yVal>
            <c:numRef>
              <c:f>'3 FRN'!$J$6:$J$14</c:f>
              <c:numCache>
                <c:formatCode>#,##0.00</c:formatCode>
                <c:ptCount val="9"/>
                <c:pt idx="0">
                  <c:v>105.557072433846</c:v>
                </c:pt>
                <c:pt idx="1">
                  <c:v>104.135259710022</c:v>
                </c:pt>
                <c:pt idx="2">
                  <c:v>102.735388766952</c:v>
                </c:pt>
                <c:pt idx="3">
                  <c:v>101.357089871865</c:v>
                </c:pt>
                <c:pt idx="4">
                  <c:v>100</c:v>
                </c:pt>
                <c:pt idx="5">
                  <c:v>98.6637627045508</c:v>
                </c:pt>
                <c:pt idx="6">
                  <c:v>97.3480279892888</c:v>
                </c:pt>
                <c:pt idx="7">
                  <c:v>96.0524521838069</c:v>
                </c:pt>
                <c:pt idx="8">
                  <c:v>94.7766978213295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'3 FRN'!K5</c:f>
              <c:strCache>
                <c:ptCount val="1"/>
                <c:pt idx="0">
                  <c:v>FRN</c:v>
                </c:pt>
              </c:strCache>
            </c:strRef>
          </c:tx>
          <c:spPr>
            <a:solidFill>
              <a:srgbClr val="1f6fb2"/>
            </a:solidFill>
            <a:ln w="28080">
              <a:solidFill>
                <a:srgbClr val="1f6fb2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'3 FRN'!$I$6:$I$14</c:f>
              <c:numCache>
                <c:formatCode>0.00%</c:formatCode>
                <c:ptCount val="9"/>
                <c:pt idx="0">
                  <c:v>-0.02</c:v>
                </c:pt>
                <c:pt idx="1">
                  <c:v>-0.015</c:v>
                </c:pt>
                <c:pt idx="2">
                  <c:v>-0.01</c:v>
                </c:pt>
                <c:pt idx="3">
                  <c:v>-0.005</c:v>
                </c:pt>
                <c:pt idx="4">
                  <c:v>0</c:v>
                </c:pt>
                <c:pt idx="5">
                  <c:v>0.005</c:v>
                </c:pt>
                <c:pt idx="6">
                  <c:v>0.01</c:v>
                </c:pt>
                <c:pt idx="7">
                  <c:v>0.015</c:v>
                </c:pt>
                <c:pt idx="8">
                  <c:v>0.02</c:v>
                </c:pt>
              </c:numCache>
            </c:numRef>
          </c:xVal>
          <c:yVal>
            <c:numRef>
              <c:f>'3 FRN'!$K$6:$K$14</c:f>
              <c:numCache>
                <c:formatCode>#,##0.00</c:formatCode>
                <c:ptCount val="9"/>
                <c:pt idx="0">
                  <c:v>100.494071146245</c:v>
                </c:pt>
                <c:pt idx="1">
                  <c:v>100.370096225019</c:v>
                </c:pt>
                <c:pt idx="2">
                  <c:v>100.246426811237</c:v>
                </c:pt>
                <c:pt idx="3">
                  <c:v>100.123061777012</c:v>
                </c:pt>
                <c:pt idx="4">
                  <c:v>100</c:v>
                </c:pt>
                <c:pt idx="5">
                  <c:v>99.8772403633685</c:v>
                </c:pt>
                <c:pt idx="6">
                  <c:v>99.7547817557626</c:v>
                </c:pt>
                <c:pt idx="7">
                  <c:v>99.6326230712711</c:v>
                </c:pt>
                <c:pt idx="8">
                  <c:v>99.5107632093934</c:v>
                </c:pt>
              </c:numCache>
            </c:numRef>
          </c:yVal>
          <c:smooth val="0"/>
        </c:ser>
        <c:axId val="20656996"/>
        <c:axId val="39420577"/>
      </c:scatterChart>
      <c:valAx>
        <c:axId val="20656996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Parallel rate shift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9420577"/>
        <c:crosses val="autoZero"/>
        <c:crossBetween val="midCat"/>
      </c:valAx>
      <c:valAx>
        <c:axId val="3942057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Price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0656996"/>
        <c:crosses val="autoZero"/>
        <c:crossBetween val="midCat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Convertible floor and conversion value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"/>
        <c:varyColors val="0"/>
        <c:ser>
          <c:idx val="0"/>
          <c:order val="0"/>
          <c:tx>
            <c:strRef>
              <c:f>'4 Convertible'!F5</c:f>
              <c:strCache>
                <c:ptCount val="1"/>
                <c:pt idx="0">
                  <c:v>Straight value</c:v>
                </c:pt>
              </c:strCache>
            </c:strRef>
          </c:tx>
          <c:spPr>
            <a:solidFill>
              <a:srgbClr val="8a8f99"/>
            </a:solidFill>
            <a:ln w="28080">
              <a:solidFill>
                <a:srgbClr val="8a8f99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'4 Convertible'!$E$6:$E$26</c:f>
              <c:numCache>
                <c:formatCode>#,##0.00</c:formatCode>
                <c:ptCount val="21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12</c:v>
                </c:pt>
                <c:pt idx="4">
                  <c:v>16</c:v>
                </c:pt>
                <c:pt idx="5">
                  <c:v>20</c:v>
                </c:pt>
                <c:pt idx="6">
                  <c:v>24</c:v>
                </c:pt>
                <c:pt idx="7">
                  <c:v>28</c:v>
                </c:pt>
                <c:pt idx="8">
                  <c:v>32</c:v>
                </c:pt>
                <c:pt idx="9">
                  <c:v>36</c:v>
                </c:pt>
                <c:pt idx="10">
                  <c:v>40</c:v>
                </c:pt>
                <c:pt idx="11">
                  <c:v>44</c:v>
                </c:pt>
                <c:pt idx="12">
                  <c:v>48</c:v>
                </c:pt>
                <c:pt idx="13">
                  <c:v>52</c:v>
                </c:pt>
                <c:pt idx="14">
                  <c:v>56</c:v>
                </c:pt>
                <c:pt idx="15">
                  <c:v>60</c:v>
                </c:pt>
                <c:pt idx="16">
                  <c:v>64</c:v>
                </c:pt>
                <c:pt idx="17">
                  <c:v>68</c:v>
                </c:pt>
                <c:pt idx="18">
                  <c:v>72</c:v>
                </c:pt>
                <c:pt idx="19">
                  <c:v>76</c:v>
                </c:pt>
                <c:pt idx="20">
                  <c:v>80</c:v>
                </c:pt>
              </c:numCache>
            </c:numRef>
          </c:xVal>
          <c:yVal>
            <c:numRef>
              <c:f>'4 Convertible'!$F$6:$F$26</c:f>
              <c:numCache>
                <c:formatCode>#,##0.00</c:formatCode>
                <c:ptCount val="21"/>
                <c:pt idx="0">
                  <c:v>883.310462099448</c:v>
                </c:pt>
                <c:pt idx="1">
                  <c:v>883.310462099448</c:v>
                </c:pt>
                <c:pt idx="2">
                  <c:v>883.310462099448</c:v>
                </c:pt>
                <c:pt idx="3">
                  <c:v>883.310462099448</c:v>
                </c:pt>
                <c:pt idx="4">
                  <c:v>883.310462099448</c:v>
                </c:pt>
                <c:pt idx="5">
                  <c:v>883.310462099448</c:v>
                </c:pt>
                <c:pt idx="6">
                  <c:v>883.310462099448</c:v>
                </c:pt>
                <c:pt idx="7">
                  <c:v>883.310462099448</c:v>
                </c:pt>
                <c:pt idx="8">
                  <c:v>883.310462099448</c:v>
                </c:pt>
                <c:pt idx="9">
                  <c:v>883.310462099448</c:v>
                </c:pt>
                <c:pt idx="10">
                  <c:v>883.310462099448</c:v>
                </c:pt>
                <c:pt idx="11">
                  <c:v>883.310462099448</c:v>
                </c:pt>
                <c:pt idx="12">
                  <c:v>883.310462099448</c:v>
                </c:pt>
                <c:pt idx="13">
                  <c:v>883.310462099448</c:v>
                </c:pt>
                <c:pt idx="14">
                  <c:v>883.310462099448</c:v>
                </c:pt>
                <c:pt idx="15">
                  <c:v>883.310462099448</c:v>
                </c:pt>
                <c:pt idx="16">
                  <c:v>883.310462099448</c:v>
                </c:pt>
                <c:pt idx="17">
                  <c:v>883.310462099448</c:v>
                </c:pt>
                <c:pt idx="18">
                  <c:v>883.310462099448</c:v>
                </c:pt>
                <c:pt idx="19">
                  <c:v>883.310462099448</c:v>
                </c:pt>
                <c:pt idx="20">
                  <c:v>883.310462099448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'4 Convertible'!G5</c:f>
              <c:strCache>
                <c:ptCount val="1"/>
                <c:pt idx="0">
                  <c:v>Conversion value</c:v>
                </c:pt>
              </c:strCache>
            </c:strRef>
          </c:tx>
          <c:spPr>
            <a:solidFill>
              <a:srgbClr val="2f8f6b"/>
            </a:solidFill>
            <a:ln w="28080">
              <a:solidFill>
                <a:srgbClr val="2f8f6b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'4 Convertible'!$E$6:$E$26</c:f>
              <c:numCache>
                <c:formatCode>#,##0.00</c:formatCode>
                <c:ptCount val="21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12</c:v>
                </c:pt>
                <c:pt idx="4">
                  <c:v>16</c:v>
                </c:pt>
                <c:pt idx="5">
                  <c:v>20</c:v>
                </c:pt>
                <c:pt idx="6">
                  <c:v>24</c:v>
                </c:pt>
                <c:pt idx="7">
                  <c:v>28</c:v>
                </c:pt>
                <c:pt idx="8">
                  <c:v>32</c:v>
                </c:pt>
                <c:pt idx="9">
                  <c:v>36</c:v>
                </c:pt>
                <c:pt idx="10">
                  <c:v>40</c:v>
                </c:pt>
                <c:pt idx="11">
                  <c:v>44</c:v>
                </c:pt>
                <c:pt idx="12">
                  <c:v>48</c:v>
                </c:pt>
                <c:pt idx="13">
                  <c:v>52</c:v>
                </c:pt>
                <c:pt idx="14">
                  <c:v>56</c:v>
                </c:pt>
                <c:pt idx="15">
                  <c:v>60</c:v>
                </c:pt>
                <c:pt idx="16">
                  <c:v>64</c:v>
                </c:pt>
                <c:pt idx="17">
                  <c:v>68</c:v>
                </c:pt>
                <c:pt idx="18">
                  <c:v>72</c:v>
                </c:pt>
                <c:pt idx="19">
                  <c:v>76</c:v>
                </c:pt>
                <c:pt idx="20">
                  <c:v>80</c:v>
                </c:pt>
              </c:numCache>
            </c:numRef>
          </c:xVal>
          <c:yVal>
            <c:numRef>
              <c:f>'4 Convertible'!$G$6:$G$26</c:f>
              <c:numCache>
                <c:formatCode>#,##0.00</c:formatCode>
                <c:ptCount val="21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  <c:pt idx="13">
                  <c:v>1300</c:v>
                </c:pt>
                <c:pt idx="14">
                  <c:v>1400</c:v>
                </c:pt>
                <c:pt idx="15">
                  <c:v>1500</c:v>
                </c:pt>
                <c:pt idx="16">
                  <c:v>1600</c:v>
                </c:pt>
                <c:pt idx="17">
                  <c:v>1700</c:v>
                </c:pt>
                <c:pt idx="18">
                  <c:v>1800</c:v>
                </c:pt>
                <c:pt idx="19">
                  <c:v>1900</c:v>
                </c:pt>
                <c:pt idx="20">
                  <c:v>2000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'4 Convertible'!H5</c:f>
              <c:strCache>
                <c:ptCount val="1"/>
                <c:pt idx="0">
                  <c:v>Minimum value</c:v>
                </c:pt>
              </c:strCache>
            </c:strRef>
          </c:tx>
          <c:spPr>
            <a:solidFill>
              <a:srgbClr val="1f6fb2"/>
            </a:solidFill>
            <a:ln w="28080">
              <a:solidFill>
                <a:srgbClr val="1f6fb2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'4 Convertible'!$E$6:$E$26</c:f>
              <c:numCache>
                <c:formatCode>#,##0.00</c:formatCode>
                <c:ptCount val="21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12</c:v>
                </c:pt>
                <c:pt idx="4">
                  <c:v>16</c:v>
                </c:pt>
                <c:pt idx="5">
                  <c:v>20</c:v>
                </c:pt>
                <c:pt idx="6">
                  <c:v>24</c:v>
                </c:pt>
                <c:pt idx="7">
                  <c:v>28</c:v>
                </c:pt>
                <c:pt idx="8">
                  <c:v>32</c:v>
                </c:pt>
                <c:pt idx="9">
                  <c:v>36</c:v>
                </c:pt>
                <c:pt idx="10">
                  <c:v>40</c:v>
                </c:pt>
                <c:pt idx="11">
                  <c:v>44</c:v>
                </c:pt>
                <c:pt idx="12">
                  <c:v>48</c:v>
                </c:pt>
                <c:pt idx="13">
                  <c:v>52</c:v>
                </c:pt>
                <c:pt idx="14">
                  <c:v>56</c:v>
                </c:pt>
                <c:pt idx="15">
                  <c:v>60</c:v>
                </c:pt>
                <c:pt idx="16">
                  <c:v>64</c:v>
                </c:pt>
                <c:pt idx="17">
                  <c:v>68</c:v>
                </c:pt>
                <c:pt idx="18">
                  <c:v>72</c:v>
                </c:pt>
                <c:pt idx="19">
                  <c:v>76</c:v>
                </c:pt>
                <c:pt idx="20">
                  <c:v>80</c:v>
                </c:pt>
              </c:numCache>
            </c:numRef>
          </c:xVal>
          <c:yVal>
            <c:numRef>
              <c:f>'4 Convertible'!$H$6:$H$26</c:f>
              <c:numCache>
                <c:formatCode>#,##0.00</c:formatCode>
                <c:ptCount val="21"/>
                <c:pt idx="0">
                  <c:v>883.310462099448</c:v>
                </c:pt>
                <c:pt idx="1">
                  <c:v>883.310462099448</c:v>
                </c:pt>
                <c:pt idx="2">
                  <c:v>883.310462099448</c:v>
                </c:pt>
                <c:pt idx="3">
                  <c:v>883.310462099448</c:v>
                </c:pt>
                <c:pt idx="4">
                  <c:v>883.310462099448</c:v>
                </c:pt>
                <c:pt idx="5">
                  <c:v>883.310462099448</c:v>
                </c:pt>
                <c:pt idx="6">
                  <c:v>883.310462099448</c:v>
                </c:pt>
                <c:pt idx="7">
                  <c:v>883.310462099448</c:v>
                </c:pt>
                <c:pt idx="8">
                  <c:v>883.310462099448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  <c:pt idx="13">
                  <c:v>1300</c:v>
                </c:pt>
                <c:pt idx="14">
                  <c:v>1400</c:v>
                </c:pt>
                <c:pt idx="15">
                  <c:v>1500</c:v>
                </c:pt>
                <c:pt idx="16">
                  <c:v>1600</c:v>
                </c:pt>
                <c:pt idx="17">
                  <c:v>1700</c:v>
                </c:pt>
                <c:pt idx="18">
                  <c:v>1800</c:v>
                </c:pt>
                <c:pt idx="19">
                  <c:v>1900</c:v>
                </c:pt>
                <c:pt idx="20">
                  <c:v>2000</c:v>
                </c:pt>
              </c:numCache>
            </c:numRef>
          </c:yVal>
          <c:smooth val="0"/>
        </c:ser>
        <c:axId val="51248083"/>
        <c:axId val="18149866"/>
      </c:scatterChart>
      <c:valAx>
        <c:axId val="51248083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Share price (₹)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8149866"/>
        <c:crosses val="autoZero"/>
        <c:crossBetween val="midCat"/>
      </c:valAx>
      <c:valAx>
        <c:axId val="1814986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Value per bond (₹)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1248083"/>
        <c:crosses val="autoZero"/>
        <c:crossBetween val="midCat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Yield to each redemption date — the lowest is YTW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'5 YTM YTC YTW'!F11</c:f>
              <c:strCache>
                <c:ptCount val="1"/>
                <c:pt idx="0">
                  <c:v>Yield</c:v>
                </c:pt>
              </c:strCache>
            </c:strRef>
          </c:tx>
          <c:spPr>
            <a:solidFill>
              <a:srgbClr val="1f6fb2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'5 YTM YTC YTW'!$E$12:$E$15</c:f>
              <c:strCache>
                <c:ptCount val="4"/>
                <c:pt idx="0">
                  <c:v>YTC 2029 @102</c:v>
                </c:pt>
                <c:pt idx="1">
                  <c:v>YTC 2031 @101</c:v>
                </c:pt>
                <c:pt idx="2">
                  <c:v>YTC 2033 @100</c:v>
                </c:pt>
                <c:pt idx="3">
                  <c:v>YTM 2036 @100</c:v>
                </c:pt>
              </c:strCache>
            </c:strRef>
          </c:cat>
          <c:val>
            <c:numRef>
              <c:f>'5 YTM YTC YTW'!$F$12:$F$15</c:f>
              <c:numCache>
                <c:formatCode>0.00%</c:formatCode>
                <c:ptCount val="4"/>
                <c:pt idx="0">
                  <c:v>0.0692433791049756</c:v>
                </c:pt>
                <c:pt idx="1">
                  <c:v>0.0708563654294867</c:v>
                </c:pt>
                <c:pt idx="2">
                  <c:v>0.0717112592236632</c:v>
                </c:pt>
                <c:pt idx="3">
                  <c:v>0.0735649396992106</c:v>
                </c:pt>
              </c:numCache>
            </c:numRef>
          </c:val>
        </c:ser>
        <c:gapWidth val="150"/>
        <c:overlap val="0"/>
        <c:axId val="67958202"/>
        <c:axId val="93209701"/>
      </c:barChart>
      <c:catAx>
        <c:axId val="6795820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3209701"/>
        <c:crosses val="autoZero"/>
        <c:auto val="1"/>
        <c:lblAlgn val="ctr"/>
        <c:lblOffset val="100"/>
        <c:noMultiLvlLbl val="0"/>
      </c:catAx>
      <c:valAx>
        <c:axId val="9320970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Yield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795820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Discount rate &lt; money-market yield &lt; bond-equivalent yield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'6 Money Market'!F14</c:f>
              <c:strCache>
                <c:ptCount val="1"/>
                <c:pt idx="0">
                  <c:v>Yield</c:v>
                </c:pt>
              </c:strCache>
            </c:strRef>
          </c:tx>
          <c:spPr>
            <a:solidFill>
              <a:srgbClr val="2f8f6b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'6 Money Market'!$E$15:$E$17</c:f>
              <c:strCache>
                <c:ptCount val="3"/>
                <c:pt idx="0">
                  <c:v>Discount rate</c:v>
                </c:pt>
                <c:pt idx="1">
                  <c:v>Money-market</c:v>
                </c:pt>
                <c:pt idx="2">
                  <c:v>Bond-equivalent</c:v>
                </c:pt>
              </c:strCache>
            </c:strRef>
          </c:cat>
          <c:val>
            <c:numRef>
              <c:f>'6 Money Market'!$F$15:$F$17</c:f>
              <c:numCache>
                <c:formatCode>0.0000%</c:formatCode>
                <c:ptCount val="3"/>
                <c:pt idx="0">
                  <c:v>0.038</c:v>
                </c:pt>
                <c:pt idx="1">
                  <c:v>0.0387359836901124</c:v>
                </c:pt>
                <c:pt idx="2">
                  <c:v>0.0392739834635859</c:v>
                </c:pt>
              </c:numCache>
            </c:numRef>
          </c:val>
        </c:ser>
        <c:gapWidth val="150"/>
        <c:overlap val="0"/>
        <c:axId val="9301823"/>
        <c:axId val="51159730"/>
      </c:barChart>
      <c:catAx>
        <c:axId val="9301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1159730"/>
        <c:crosses val="autoZero"/>
        <c:auto val="1"/>
        <c:lblAlgn val="ctr"/>
        <c:lblOffset val="100"/>
        <c:noMultiLvlLbl val="0"/>
      </c:catAx>
      <c:valAx>
        <c:axId val="51159730"/>
        <c:scaling>
          <c:orientation val="minMax"/>
          <c:min val="0.036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.0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30182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Clean price is smooth; dirty price saw-tooths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"/>
        <c:varyColors val="0"/>
        <c:ser>
          <c:idx val="0"/>
          <c:order val="0"/>
          <c:tx>
            <c:strRef>
              <c:f>'7 Accrued Interest'!F51</c:f>
              <c:strCache>
                <c:ptCount val="1"/>
                <c:pt idx="0">
                  <c:v>Clean</c:v>
                </c:pt>
              </c:strCache>
            </c:strRef>
          </c:tx>
          <c:spPr>
            <a:solidFill>
              <a:srgbClr val="1f6fb2"/>
            </a:solidFill>
            <a:ln w="28080">
              <a:solidFill>
                <a:srgbClr val="1f6fb2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'7 Accrued Interest'!$E$52:$E$161</c:f>
              <c:numCache>
                <c:formatCode>dd\-mmm\-yyyy</c:formatCode>
                <c:ptCount val="110"/>
                <c:pt idx="0">
                  <c:v>46250</c:v>
                </c:pt>
                <c:pt idx="1">
                  <c:v>46255</c:v>
                </c:pt>
                <c:pt idx="2">
                  <c:v>46260</c:v>
                </c:pt>
                <c:pt idx="3">
                  <c:v>46265</c:v>
                </c:pt>
                <c:pt idx="4">
                  <c:v>46270</c:v>
                </c:pt>
                <c:pt idx="5">
                  <c:v>46275</c:v>
                </c:pt>
                <c:pt idx="6">
                  <c:v>46280</c:v>
                </c:pt>
                <c:pt idx="7">
                  <c:v>46285</c:v>
                </c:pt>
                <c:pt idx="8">
                  <c:v>46290</c:v>
                </c:pt>
                <c:pt idx="9">
                  <c:v>46295</c:v>
                </c:pt>
                <c:pt idx="10">
                  <c:v>46300</c:v>
                </c:pt>
                <c:pt idx="11">
                  <c:v>46305</c:v>
                </c:pt>
                <c:pt idx="12">
                  <c:v>46310</c:v>
                </c:pt>
                <c:pt idx="13">
                  <c:v>46315</c:v>
                </c:pt>
                <c:pt idx="14">
                  <c:v>46320</c:v>
                </c:pt>
                <c:pt idx="15">
                  <c:v>46325</c:v>
                </c:pt>
                <c:pt idx="16">
                  <c:v>46330</c:v>
                </c:pt>
                <c:pt idx="17">
                  <c:v>46335</c:v>
                </c:pt>
                <c:pt idx="18">
                  <c:v>46340</c:v>
                </c:pt>
                <c:pt idx="19">
                  <c:v>46345</c:v>
                </c:pt>
                <c:pt idx="20">
                  <c:v>46350</c:v>
                </c:pt>
                <c:pt idx="21">
                  <c:v>46355</c:v>
                </c:pt>
                <c:pt idx="22">
                  <c:v>46360</c:v>
                </c:pt>
                <c:pt idx="23">
                  <c:v>46365</c:v>
                </c:pt>
                <c:pt idx="24">
                  <c:v>46370</c:v>
                </c:pt>
                <c:pt idx="25">
                  <c:v>46375</c:v>
                </c:pt>
                <c:pt idx="26">
                  <c:v>46380</c:v>
                </c:pt>
                <c:pt idx="27">
                  <c:v>46385</c:v>
                </c:pt>
                <c:pt idx="28">
                  <c:v>46390</c:v>
                </c:pt>
                <c:pt idx="29">
                  <c:v>46395</c:v>
                </c:pt>
                <c:pt idx="30">
                  <c:v>46400</c:v>
                </c:pt>
                <c:pt idx="31">
                  <c:v>46405</c:v>
                </c:pt>
                <c:pt idx="32">
                  <c:v>46410</c:v>
                </c:pt>
                <c:pt idx="33">
                  <c:v>46415</c:v>
                </c:pt>
                <c:pt idx="34">
                  <c:v>46420</c:v>
                </c:pt>
                <c:pt idx="35">
                  <c:v>46425</c:v>
                </c:pt>
                <c:pt idx="36">
                  <c:v>46430</c:v>
                </c:pt>
                <c:pt idx="37">
                  <c:v>46435</c:v>
                </c:pt>
                <c:pt idx="38">
                  <c:v>46440</c:v>
                </c:pt>
                <c:pt idx="39">
                  <c:v>46445</c:v>
                </c:pt>
                <c:pt idx="40">
                  <c:v>46450</c:v>
                </c:pt>
                <c:pt idx="41">
                  <c:v>46455</c:v>
                </c:pt>
                <c:pt idx="42">
                  <c:v>46460</c:v>
                </c:pt>
                <c:pt idx="43">
                  <c:v>46465</c:v>
                </c:pt>
                <c:pt idx="44">
                  <c:v>46470</c:v>
                </c:pt>
                <c:pt idx="45">
                  <c:v>46475</c:v>
                </c:pt>
                <c:pt idx="46">
                  <c:v>46480</c:v>
                </c:pt>
                <c:pt idx="47">
                  <c:v>46485</c:v>
                </c:pt>
                <c:pt idx="48">
                  <c:v>46490</c:v>
                </c:pt>
                <c:pt idx="49">
                  <c:v>46495</c:v>
                </c:pt>
                <c:pt idx="50">
                  <c:v>46500</c:v>
                </c:pt>
                <c:pt idx="51">
                  <c:v>46505</c:v>
                </c:pt>
                <c:pt idx="52">
                  <c:v>46510</c:v>
                </c:pt>
                <c:pt idx="53">
                  <c:v>46515</c:v>
                </c:pt>
                <c:pt idx="54">
                  <c:v>46520</c:v>
                </c:pt>
                <c:pt idx="55">
                  <c:v>46525</c:v>
                </c:pt>
                <c:pt idx="56">
                  <c:v>46530</c:v>
                </c:pt>
                <c:pt idx="57">
                  <c:v>46535</c:v>
                </c:pt>
                <c:pt idx="58">
                  <c:v>46540</c:v>
                </c:pt>
                <c:pt idx="59">
                  <c:v>46545</c:v>
                </c:pt>
                <c:pt idx="60">
                  <c:v>46550</c:v>
                </c:pt>
                <c:pt idx="61">
                  <c:v>46555</c:v>
                </c:pt>
                <c:pt idx="62">
                  <c:v>46560</c:v>
                </c:pt>
                <c:pt idx="63">
                  <c:v>46565</c:v>
                </c:pt>
                <c:pt idx="64">
                  <c:v>46570</c:v>
                </c:pt>
                <c:pt idx="65">
                  <c:v>46575</c:v>
                </c:pt>
                <c:pt idx="66">
                  <c:v>46580</c:v>
                </c:pt>
                <c:pt idx="67">
                  <c:v>46585</c:v>
                </c:pt>
                <c:pt idx="68">
                  <c:v>46590</c:v>
                </c:pt>
                <c:pt idx="69">
                  <c:v>46595</c:v>
                </c:pt>
                <c:pt idx="70">
                  <c:v>46600</c:v>
                </c:pt>
                <c:pt idx="71">
                  <c:v>46605</c:v>
                </c:pt>
                <c:pt idx="72">
                  <c:v>46610</c:v>
                </c:pt>
                <c:pt idx="73">
                  <c:v>46615</c:v>
                </c:pt>
                <c:pt idx="74">
                  <c:v>46620</c:v>
                </c:pt>
                <c:pt idx="75">
                  <c:v>46625</c:v>
                </c:pt>
                <c:pt idx="76">
                  <c:v>46630</c:v>
                </c:pt>
                <c:pt idx="77">
                  <c:v>46635</c:v>
                </c:pt>
                <c:pt idx="78">
                  <c:v>46640</c:v>
                </c:pt>
                <c:pt idx="79">
                  <c:v>46645</c:v>
                </c:pt>
                <c:pt idx="80">
                  <c:v>46650</c:v>
                </c:pt>
                <c:pt idx="81">
                  <c:v>46655</c:v>
                </c:pt>
                <c:pt idx="82">
                  <c:v>46660</c:v>
                </c:pt>
                <c:pt idx="83">
                  <c:v>46665</c:v>
                </c:pt>
                <c:pt idx="84">
                  <c:v>46670</c:v>
                </c:pt>
                <c:pt idx="85">
                  <c:v>46675</c:v>
                </c:pt>
                <c:pt idx="86">
                  <c:v>46680</c:v>
                </c:pt>
                <c:pt idx="87">
                  <c:v>46685</c:v>
                </c:pt>
                <c:pt idx="88">
                  <c:v>46690</c:v>
                </c:pt>
                <c:pt idx="89">
                  <c:v>46695</c:v>
                </c:pt>
                <c:pt idx="90">
                  <c:v>46700</c:v>
                </c:pt>
                <c:pt idx="91">
                  <c:v>46705</c:v>
                </c:pt>
                <c:pt idx="92">
                  <c:v>46710</c:v>
                </c:pt>
                <c:pt idx="93">
                  <c:v>46715</c:v>
                </c:pt>
                <c:pt idx="94">
                  <c:v>46720</c:v>
                </c:pt>
                <c:pt idx="95">
                  <c:v>46725</c:v>
                </c:pt>
                <c:pt idx="96">
                  <c:v>46730</c:v>
                </c:pt>
                <c:pt idx="97">
                  <c:v>46735</c:v>
                </c:pt>
                <c:pt idx="98">
                  <c:v>46740</c:v>
                </c:pt>
                <c:pt idx="99">
                  <c:v>46745</c:v>
                </c:pt>
                <c:pt idx="100">
                  <c:v>46750</c:v>
                </c:pt>
                <c:pt idx="101">
                  <c:v>46755</c:v>
                </c:pt>
                <c:pt idx="102">
                  <c:v>46760</c:v>
                </c:pt>
                <c:pt idx="103">
                  <c:v>46765</c:v>
                </c:pt>
                <c:pt idx="104">
                  <c:v>46770</c:v>
                </c:pt>
                <c:pt idx="105">
                  <c:v>46775</c:v>
                </c:pt>
                <c:pt idx="106">
                  <c:v>46780</c:v>
                </c:pt>
                <c:pt idx="107">
                  <c:v>46785</c:v>
                </c:pt>
                <c:pt idx="108">
                  <c:v>46790</c:v>
                </c:pt>
                <c:pt idx="109">
                  <c:v>46795</c:v>
                </c:pt>
              </c:numCache>
            </c:numRef>
          </c:xVal>
          <c:yVal>
            <c:numRef>
              <c:f>'7 Accrued Interest'!$F$52:$F$161</c:f>
              <c:numCache>
                <c:formatCode>#,##0.0000</c:formatCode>
                <c:ptCount val="110"/>
                <c:pt idx="0">
                  <c:v>96.5262482087139</c:v>
                </c:pt>
                <c:pt idx="1">
                  <c:v>96.5278051101184</c:v>
                </c:pt>
                <c:pt idx="2">
                  <c:v>96.5294630757442</c:v>
                </c:pt>
                <c:pt idx="3">
                  <c:v>96.5312222089938</c:v>
                </c:pt>
                <c:pt idx="4">
                  <c:v>96.5327024258363</c:v>
                </c:pt>
                <c:pt idx="5">
                  <c:v>96.5346439217196</c:v>
                </c:pt>
                <c:pt idx="6">
                  <c:v>96.536686875316</c:v>
                </c:pt>
                <c:pt idx="7">
                  <c:v>96.53883139043</c:v>
                </c:pt>
                <c:pt idx="8">
                  <c:v>96.5410775709727</c:v>
                </c:pt>
                <c:pt idx="9">
                  <c:v>96.5434255209614</c:v>
                </c:pt>
                <c:pt idx="10">
                  <c:v>96.5458753445198</c:v>
                </c:pt>
                <c:pt idx="11">
                  <c:v>96.5484271458782</c:v>
                </c:pt>
                <c:pt idx="12">
                  <c:v>96.5510810293734</c:v>
                </c:pt>
                <c:pt idx="13">
                  <c:v>96.5538370994491</c:v>
                </c:pt>
                <c:pt idx="14">
                  <c:v>96.5566954606558</c:v>
                </c:pt>
                <c:pt idx="15">
                  <c:v>96.559656217651</c:v>
                </c:pt>
                <c:pt idx="16">
                  <c:v>96.562098618613</c:v>
                </c:pt>
                <c:pt idx="17">
                  <c:v>96.5652439521062</c:v>
                </c:pt>
                <c:pt idx="18">
                  <c:v>96.5684919749987</c:v>
                </c:pt>
                <c:pt idx="19">
                  <c:v>96.5718427923557</c:v>
                </c:pt>
                <c:pt idx="20">
                  <c:v>96.5752965093494</c:v>
                </c:pt>
                <c:pt idx="21">
                  <c:v>96.57885323126</c:v>
                </c:pt>
                <c:pt idx="22">
                  <c:v>96.5825130634752</c:v>
                </c:pt>
                <c:pt idx="23">
                  <c:v>96.5862761114907</c:v>
                </c:pt>
                <c:pt idx="24">
                  <c:v>96.59014248091</c:v>
                </c:pt>
                <c:pt idx="25">
                  <c:v>96.5941122774446</c:v>
                </c:pt>
                <c:pt idx="26">
                  <c:v>96.5981856069143</c:v>
                </c:pt>
                <c:pt idx="27">
                  <c:v>96.6023625752472</c:v>
                </c:pt>
                <c:pt idx="28">
                  <c:v>96.6057788411476</c:v>
                </c:pt>
                <c:pt idx="29">
                  <c:v>96.6101426267186</c:v>
                </c:pt>
                <c:pt idx="30">
                  <c:v>96.614610348328</c:v>
                </c:pt>
                <c:pt idx="31">
                  <c:v>96.6191821123163</c:v>
                </c:pt>
                <c:pt idx="32">
                  <c:v>96.6238580251326</c:v>
                </c:pt>
                <c:pt idx="33">
                  <c:v>96.6286381933353</c:v>
                </c:pt>
                <c:pt idx="34">
                  <c:v>96.6325374634521</c:v>
                </c:pt>
                <c:pt idx="35">
                  <c:v>96.6375055602246</c:v>
                </c:pt>
                <c:pt idx="36">
                  <c:v>96.6425782113265</c:v>
                </c:pt>
                <c:pt idx="37">
                  <c:v>96.6463235763757</c:v>
                </c:pt>
                <c:pt idx="38">
                  <c:v>96.648023225161</c:v>
                </c:pt>
                <c:pt idx="39">
                  <c:v>96.6498240842175</c:v>
                </c:pt>
                <c:pt idx="40">
                  <c:v>96.6525155173344</c:v>
                </c:pt>
                <c:pt idx="41">
                  <c:v>96.6545597037337</c:v>
                </c:pt>
                <c:pt idx="42">
                  <c:v>96.6567054529122</c:v>
                </c:pt>
                <c:pt idx="43">
                  <c:v>96.6589528687819</c:v>
                </c:pt>
                <c:pt idx="44">
                  <c:v>96.6613020553615</c:v>
                </c:pt>
                <c:pt idx="45">
                  <c:v>96.663753116776</c:v>
                </c:pt>
                <c:pt idx="46">
                  <c:v>96.6657873858287</c:v>
                </c:pt>
                <c:pt idx="47">
                  <c:v>96.6684220846812</c:v>
                </c:pt>
                <c:pt idx="48">
                  <c:v>96.6711589504857</c:v>
                </c:pt>
                <c:pt idx="49">
                  <c:v>96.6739980877727</c:v>
                </c:pt>
                <c:pt idx="50">
                  <c:v>96.6769396011796</c:v>
                </c:pt>
                <c:pt idx="51">
                  <c:v>96.6799835954507</c:v>
                </c:pt>
                <c:pt idx="52">
                  <c:v>96.6831301754377</c:v>
                </c:pt>
                <c:pt idx="53">
                  <c:v>96.6863794460994</c:v>
                </c:pt>
                <c:pt idx="54">
                  <c:v>96.6897315125021</c:v>
                </c:pt>
                <c:pt idx="55">
                  <c:v>96.6931864798196</c:v>
                </c:pt>
                <c:pt idx="56">
                  <c:v>96.6967444533332</c:v>
                </c:pt>
                <c:pt idx="57">
                  <c:v>96.700405538432</c:v>
                </c:pt>
                <c:pt idx="58">
                  <c:v>96.7034087177427</c:v>
                </c:pt>
                <c:pt idx="59">
                  <c:v>96.7072556696196</c:v>
                </c:pt>
                <c:pt idx="60">
                  <c:v>96.7112060287451</c:v>
                </c:pt>
                <c:pt idx="61">
                  <c:v>96.7152599009186</c:v>
                </c:pt>
                <c:pt idx="62">
                  <c:v>96.7194173920478</c:v>
                </c:pt>
                <c:pt idx="63">
                  <c:v>96.7236786081488</c:v>
                </c:pt>
                <c:pt idx="64">
                  <c:v>96.7280436553459</c:v>
                </c:pt>
                <c:pt idx="65">
                  <c:v>96.7325126398723</c:v>
                </c:pt>
                <c:pt idx="66">
                  <c:v>96.7370856680696</c:v>
                </c:pt>
                <c:pt idx="67">
                  <c:v>96.7417628463885</c:v>
                </c:pt>
                <c:pt idx="68">
                  <c:v>96.7465442813885</c:v>
                </c:pt>
                <c:pt idx="69">
                  <c:v>96.751430079738</c:v>
                </c:pt>
                <c:pt idx="70">
                  <c:v>96.7554139317801</c:v>
                </c:pt>
                <c:pt idx="71">
                  <c:v>96.7604878533118</c:v>
                </c:pt>
                <c:pt idx="72">
                  <c:v>96.7656664374457</c:v>
                </c:pt>
                <c:pt idx="73">
                  <c:v>96.7702338908043</c:v>
                </c:pt>
                <c:pt idx="74">
                  <c:v>96.7720404221113</c:v>
                </c:pt>
                <c:pt idx="75">
                  <c:v>96.7739482730445</c:v>
                </c:pt>
                <c:pt idx="76">
                  <c:v>96.7759575472674</c:v>
                </c:pt>
                <c:pt idx="77">
                  <c:v>96.7776380611438</c:v>
                </c:pt>
                <c:pt idx="78">
                  <c:v>96.7798301588586</c:v>
                </c:pt>
                <c:pt idx="79">
                  <c:v>96.7821239706855</c:v>
                </c:pt>
                <c:pt idx="80">
                  <c:v>96.7845196006916</c:v>
                </c:pt>
                <c:pt idx="81">
                  <c:v>96.7870171530503</c:v>
                </c:pt>
                <c:pt idx="82">
                  <c:v>96.789616732042</c:v>
                </c:pt>
                <c:pt idx="83">
                  <c:v>96.7923184420534</c:v>
                </c:pt>
                <c:pt idx="84">
                  <c:v>96.7951223875782</c:v>
                </c:pt>
                <c:pt idx="85">
                  <c:v>96.798028673217</c:v>
                </c:pt>
                <c:pt idx="86">
                  <c:v>96.8010374036773</c:v>
                </c:pt>
                <c:pt idx="87">
                  <c:v>96.804148683774</c:v>
                </c:pt>
                <c:pt idx="88">
                  <c:v>96.8073626184289</c:v>
                </c:pt>
                <c:pt idx="89">
                  <c:v>96.8100077480108</c:v>
                </c:pt>
                <c:pt idx="90">
                  <c:v>96.8134067256165</c:v>
                </c:pt>
                <c:pt idx="91">
                  <c:v>96.8169086521335</c:v>
                </c:pt>
                <c:pt idx="92">
                  <c:v>96.8205136328921</c:v>
                </c:pt>
                <c:pt idx="93">
                  <c:v>96.8242217733306</c:v>
                </c:pt>
                <c:pt idx="94">
                  <c:v>96.828033178995</c:v>
                </c:pt>
                <c:pt idx="95">
                  <c:v>96.8319479555396</c:v>
                </c:pt>
                <c:pt idx="96">
                  <c:v>96.8359662087265</c:v>
                </c:pt>
                <c:pt idx="97">
                  <c:v>96.8400880444261</c:v>
                </c:pt>
                <c:pt idx="98">
                  <c:v>96.8443135686171</c:v>
                </c:pt>
                <c:pt idx="99">
                  <c:v>96.8486428873867</c:v>
                </c:pt>
                <c:pt idx="100">
                  <c:v>96.8530761069307</c:v>
                </c:pt>
                <c:pt idx="101">
                  <c:v>96.8566975625561</c:v>
                </c:pt>
                <c:pt idx="102">
                  <c:v>96.8613180714539</c:v>
                </c:pt>
                <c:pt idx="103">
                  <c:v>96.8660427790523</c:v>
                </c:pt>
                <c:pt idx="104">
                  <c:v>96.8708717919604</c:v>
                </c:pt>
                <c:pt idx="105">
                  <c:v>96.8758052168967</c:v>
                </c:pt>
                <c:pt idx="106">
                  <c:v>96.8808431606885</c:v>
                </c:pt>
                <c:pt idx="107">
                  <c:v>96.8849488411556</c:v>
                </c:pt>
                <c:pt idx="108">
                  <c:v>96.8901751884414</c:v>
                </c:pt>
                <c:pt idx="109">
                  <c:v>96.8955063542813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'7 Accrued Interest'!H51</c:f>
              <c:strCache>
                <c:ptCount val="1"/>
                <c:pt idx="0">
                  <c:v>Dirty</c:v>
                </c:pt>
              </c:strCache>
            </c:strRef>
          </c:tx>
          <c:spPr>
            <a:solidFill>
              <a:srgbClr val="8e2130"/>
            </a:solidFill>
            <a:ln w="28080">
              <a:solidFill>
                <a:srgbClr val="8e213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'7 Accrued Interest'!$E$52:$E$161</c:f>
              <c:numCache>
                <c:formatCode>dd\-mmm\-yyyy</c:formatCode>
                <c:ptCount val="110"/>
                <c:pt idx="0">
                  <c:v>46250</c:v>
                </c:pt>
                <c:pt idx="1">
                  <c:v>46255</c:v>
                </c:pt>
                <c:pt idx="2">
                  <c:v>46260</c:v>
                </c:pt>
                <c:pt idx="3">
                  <c:v>46265</c:v>
                </c:pt>
                <c:pt idx="4">
                  <c:v>46270</c:v>
                </c:pt>
                <c:pt idx="5">
                  <c:v>46275</c:v>
                </c:pt>
                <c:pt idx="6">
                  <c:v>46280</c:v>
                </c:pt>
                <c:pt idx="7">
                  <c:v>46285</c:v>
                </c:pt>
                <c:pt idx="8">
                  <c:v>46290</c:v>
                </c:pt>
                <c:pt idx="9">
                  <c:v>46295</c:v>
                </c:pt>
                <c:pt idx="10">
                  <c:v>46300</c:v>
                </c:pt>
                <c:pt idx="11">
                  <c:v>46305</c:v>
                </c:pt>
                <c:pt idx="12">
                  <c:v>46310</c:v>
                </c:pt>
                <c:pt idx="13">
                  <c:v>46315</c:v>
                </c:pt>
                <c:pt idx="14">
                  <c:v>46320</c:v>
                </c:pt>
                <c:pt idx="15">
                  <c:v>46325</c:v>
                </c:pt>
                <c:pt idx="16">
                  <c:v>46330</c:v>
                </c:pt>
                <c:pt idx="17">
                  <c:v>46335</c:v>
                </c:pt>
                <c:pt idx="18">
                  <c:v>46340</c:v>
                </c:pt>
                <c:pt idx="19">
                  <c:v>46345</c:v>
                </c:pt>
                <c:pt idx="20">
                  <c:v>46350</c:v>
                </c:pt>
                <c:pt idx="21">
                  <c:v>46355</c:v>
                </c:pt>
                <c:pt idx="22">
                  <c:v>46360</c:v>
                </c:pt>
                <c:pt idx="23">
                  <c:v>46365</c:v>
                </c:pt>
                <c:pt idx="24">
                  <c:v>46370</c:v>
                </c:pt>
                <c:pt idx="25">
                  <c:v>46375</c:v>
                </c:pt>
                <c:pt idx="26">
                  <c:v>46380</c:v>
                </c:pt>
                <c:pt idx="27">
                  <c:v>46385</c:v>
                </c:pt>
                <c:pt idx="28">
                  <c:v>46390</c:v>
                </c:pt>
                <c:pt idx="29">
                  <c:v>46395</c:v>
                </c:pt>
                <c:pt idx="30">
                  <c:v>46400</c:v>
                </c:pt>
                <c:pt idx="31">
                  <c:v>46405</c:v>
                </c:pt>
                <c:pt idx="32">
                  <c:v>46410</c:v>
                </c:pt>
                <c:pt idx="33">
                  <c:v>46415</c:v>
                </c:pt>
                <c:pt idx="34">
                  <c:v>46420</c:v>
                </c:pt>
                <c:pt idx="35">
                  <c:v>46425</c:v>
                </c:pt>
                <c:pt idx="36">
                  <c:v>46430</c:v>
                </c:pt>
                <c:pt idx="37">
                  <c:v>46435</c:v>
                </c:pt>
                <c:pt idx="38">
                  <c:v>46440</c:v>
                </c:pt>
                <c:pt idx="39">
                  <c:v>46445</c:v>
                </c:pt>
                <c:pt idx="40">
                  <c:v>46450</c:v>
                </c:pt>
                <c:pt idx="41">
                  <c:v>46455</c:v>
                </c:pt>
                <c:pt idx="42">
                  <c:v>46460</c:v>
                </c:pt>
                <c:pt idx="43">
                  <c:v>46465</c:v>
                </c:pt>
                <c:pt idx="44">
                  <c:v>46470</c:v>
                </c:pt>
                <c:pt idx="45">
                  <c:v>46475</c:v>
                </c:pt>
                <c:pt idx="46">
                  <c:v>46480</c:v>
                </c:pt>
                <c:pt idx="47">
                  <c:v>46485</c:v>
                </c:pt>
                <c:pt idx="48">
                  <c:v>46490</c:v>
                </c:pt>
                <c:pt idx="49">
                  <c:v>46495</c:v>
                </c:pt>
                <c:pt idx="50">
                  <c:v>46500</c:v>
                </c:pt>
                <c:pt idx="51">
                  <c:v>46505</c:v>
                </c:pt>
                <c:pt idx="52">
                  <c:v>46510</c:v>
                </c:pt>
                <c:pt idx="53">
                  <c:v>46515</c:v>
                </c:pt>
                <c:pt idx="54">
                  <c:v>46520</c:v>
                </c:pt>
                <c:pt idx="55">
                  <c:v>46525</c:v>
                </c:pt>
                <c:pt idx="56">
                  <c:v>46530</c:v>
                </c:pt>
                <c:pt idx="57">
                  <c:v>46535</c:v>
                </c:pt>
                <c:pt idx="58">
                  <c:v>46540</c:v>
                </c:pt>
                <c:pt idx="59">
                  <c:v>46545</c:v>
                </c:pt>
                <c:pt idx="60">
                  <c:v>46550</c:v>
                </c:pt>
                <c:pt idx="61">
                  <c:v>46555</c:v>
                </c:pt>
                <c:pt idx="62">
                  <c:v>46560</c:v>
                </c:pt>
                <c:pt idx="63">
                  <c:v>46565</c:v>
                </c:pt>
                <c:pt idx="64">
                  <c:v>46570</c:v>
                </c:pt>
                <c:pt idx="65">
                  <c:v>46575</c:v>
                </c:pt>
                <c:pt idx="66">
                  <c:v>46580</c:v>
                </c:pt>
                <c:pt idx="67">
                  <c:v>46585</c:v>
                </c:pt>
                <c:pt idx="68">
                  <c:v>46590</c:v>
                </c:pt>
                <c:pt idx="69">
                  <c:v>46595</c:v>
                </c:pt>
                <c:pt idx="70">
                  <c:v>46600</c:v>
                </c:pt>
                <c:pt idx="71">
                  <c:v>46605</c:v>
                </c:pt>
                <c:pt idx="72">
                  <c:v>46610</c:v>
                </c:pt>
                <c:pt idx="73">
                  <c:v>46615</c:v>
                </c:pt>
                <c:pt idx="74">
                  <c:v>46620</c:v>
                </c:pt>
                <c:pt idx="75">
                  <c:v>46625</c:v>
                </c:pt>
                <c:pt idx="76">
                  <c:v>46630</c:v>
                </c:pt>
                <c:pt idx="77">
                  <c:v>46635</c:v>
                </c:pt>
                <c:pt idx="78">
                  <c:v>46640</c:v>
                </c:pt>
                <c:pt idx="79">
                  <c:v>46645</c:v>
                </c:pt>
                <c:pt idx="80">
                  <c:v>46650</c:v>
                </c:pt>
                <c:pt idx="81">
                  <c:v>46655</c:v>
                </c:pt>
                <c:pt idx="82">
                  <c:v>46660</c:v>
                </c:pt>
                <c:pt idx="83">
                  <c:v>46665</c:v>
                </c:pt>
                <c:pt idx="84">
                  <c:v>46670</c:v>
                </c:pt>
                <c:pt idx="85">
                  <c:v>46675</c:v>
                </c:pt>
                <c:pt idx="86">
                  <c:v>46680</c:v>
                </c:pt>
                <c:pt idx="87">
                  <c:v>46685</c:v>
                </c:pt>
                <c:pt idx="88">
                  <c:v>46690</c:v>
                </c:pt>
                <c:pt idx="89">
                  <c:v>46695</c:v>
                </c:pt>
                <c:pt idx="90">
                  <c:v>46700</c:v>
                </c:pt>
                <c:pt idx="91">
                  <c:v>46705</c:v>
                </c:pt>
                <c:pt idx="92">
                  <c:v>46710</c:v>
                </c:pt>
                <c:pt idx="93">
                  <c:v>46715</c:v>
                </c:pt>
                <c:pt idx="94">
                  <c:v>46720</c:v>
                </c:pt>
                <c:pt idx="95">
                  <c:v>46725</c:v>
                </c:pt>
                <c:pt idx="96">
                  <c:v>46730</c:v>
                </c:pt>
                <c:pt idx="97">
                  <c:v>46735</c:v>
                </c:pt>
                <c:pt idx="98">
                  <c:v>46740</c:v>
                </c:pt>
                <c:pt idx="99">
                  <c:v>46745</c:v>
                </c:pt>
                <c:pt idx="100">
                  <c:v>46750</c:v>
                </c:pt>
                <c:pt idx="101">
                  <c:v>46755</c:v>
                </c:pt>
                <c:pt idx="102">
                  <c:v>46760</c:v>
                </c:pt>
                <c:pt idx="103">
                  <c:v>46765</c:v>
                </c:pt>
                <c:pt idx="104">
                  <c:v>46770</c:v>
                </c:pt>
                <c:pt idx="105">
                  <c:v>46775</c:v>
                </c:pt>
                <c:pt idx="106">
                  <c:v>46780</c:v>
                </c:pt>
                <c:pt idx="107">
                  <c:v>46785</c:v>
                </c:pt>
                <c:pt idx="108">
                  <c:v>46790</c:v>
                </c:pt>
                <c:pt idx="109">
                  <c:v>46795</c:v>
                </c:pt>
              </c:numCache>
            </c:numRef>
          </c:xVal>
          <c:yVal>
            <c:numRef>
              <c:f>'7 Accrued Interest'!$H$52:$H$161</c:f>
              <c:numCache>
                <c:formatCode>#,##0.0000</c:formatCode>
                <c:ptCount val="110"/>
                <c:pt idx="0">
                  <c:v>96.5456926531584</c:v>
                </c:pt>
                <c:pt idx="1">
                  <c:v>96.644471776785</c:v>
                </c:pt>
                <c:pt idx="2">
                  <c:v>96.7433519646331</c:v>
                </c:pt>
                <c:pt idx="3">
                  <c:v>96.8423333201049</c:v>
                </c:pt>
                <c:pt idx="4">
                  <c:v>96.9215913147252</c:v>
                </c:pt>
                <c:pt idx="5">
                  <c:v>97.0207550328308</c:v>
                </c:pt>
                <c:pt idx="6">
                  <c:v>97.1200202086493</c:v>
                </c:pt>
                <c:pt idx="7">
                  <c:v>97.2193869459855</c:v>
                </c:pt>
                <c:pt idx="8">
                  <c:v>97.3188553487505</c:v>
                </c:pt>
                <c:pt idx="9">
                  <c:v>97.4184255209614</c:v>
                </c:pt>
                <c:pt idx="10">
                  <c:v>97.5180975667421</c:v>
                </c:pt>
                <c:pt idx="11">
                  <c:v>97.6178715903226</c:v>
                </c:pt>
                <c:pt idx="12">
                  <c:v>97.7177476960401</c:v>
                </c:pt>
                <c:pt idx="13">
                  <c:v>97.817725988338</c:v>
                </c:pt>
                <c:pt idx="14">
                  <c:v>97.9178065717669</c:v>
                </c:pt>
                <c:pt idx="15">
                  <c:v>98.0179895509843</c:v>
                </c:pt>
                <c:pt idx="16">
                  <c:v>98.0982097297242</c:v>
                </c:pt>
                <c:pt idx="17">
                  <c:v>98.1985772854395</c:v>
                </c:pt>
                <c:pt idx="18">
                  <c:v>98.2990475305543</c:v>
                </c:pt>
                <c:pt idx="19">
                  <c:v>98.3996205701335</c:v>
                </c:pt>
                <c:pt idx="20">
                  <c:v>98.5002965093494</c:v>
                </c:pt>
                <c:pt idx="21">
                  <c:v>98.6010754534822</c:v>
                </c:pt>
                <c:pt idx="22">
                  <c:v>98.7019575079197</c:v>
                </c:pt>
                <c:pt idx="23">
                  <c:v>98.8029427781574</c:v>
                </c:pt>
                <c:pt idx="24">
                  <c:v>98.9040313697989</c:v>
                </c:pt>
                <c:pt idx="25">
                  <c:v>99.0052233885557</c:v>
                </c:pt>
                <c:pt idx="26">
                  <c:v>99.1065189402477</c:v>
                </c:pt>
                <c:pt idx="27">
                  <c:v>99.2079181308027</c:v>
                </c:pt>
                <c:pt idx="28">
                  <c:v>99.2891121744809</c:v>
                </c:pt>
                <c:pt idx="29">
                  <c:v>99.3906981822741</c:v>
                </c:pt>
                <c:pt idx="30">
                  <c:v>99.4923881261058</c:v>
                </c:pt>
                <c:pt idx="31">
                  <c:v>99.5941821123163</c:v>
                </c:pt>
                <c:pt idx="32">
                  <c:v>99.6960802473548</c:v>
                </c:pt>
                <c:pt idx="33">
                  <c:v>99.7980826377797</c:v>
                </c:pt>
                <c:pt idx="34">
                  <c:v>99.8797596856743</c:v>
                </c:pt>
                <c:pt idx="35">
                  <c:v>99.9819500046691</c:v>
                </c:pt>
                <c:pt idx="36">
                  <c:v>100.084244877993</c:v>
                </c:pt>
                <c:pt idx="37">
                  <c:v>96.6852124652646</c:v>
                </c:pt>
                <c:pt idx="38">
                  <c:v>96.7841343362721</c:v>
                </c:pt>
                <c:pt idx="39">
                  <c:v>96.8831574175508</c:v>
                </c:pt>
                <c:pt idx="40">
                  <c:v>96.9830710728899</c:v>
                </c:pt>
                <c:pt idx="41">
                  <c:v>97.0823374815115</c:v>
                </c:pt>
                <c:pt idx="42">
                  <c:v>97.1817054529122</c:v>
                </c:pt>
                <c:pt idx="43">
                  <c:v>97.2811750910041</c:v>
                </c:pt>
                <c:pt idx="44">
                  <c:v>97.3807464998059</c:v>
                </c:pt>
                <c:pt idx="45">
                  <c:v>97.4804197834426</c:v>
                </c:pt>
                <c:pt idx="46">
                  <c:v>97.5602318302731</c:v>
                </c:pt>
                <c:pt idx="47">
                  <c:v>97.6600887513478</c:v>
                </c:pt>
                <c:pt idx="48">
                  <c:v>97.7600478393746</c:v>
                </c:pt>
                <c:pt idx="49">
                  <c:v>97.8601091988838</c:v>
                </c:pt>
                <c:pt idx="50">
                  <c:v>97.9602729345129</c:v>
                </c:pt>
                <c:pt idx="51">
                  <c:v>98.0605391510062</c:v>
                </c:pt>
                <c:pt idx="52">
                  <c:v>98.1609079532155</c:v>
                </c:pt>
                <c:pt idx="53">
                  <c:v>98.2613794460994</c:v>
                </c:pt>
                <c:pt idx="54">
                  <c:v>98.3619537347243</c:v>
                </c:pt>
                <c:pt idx="55">
                  <c:v>98.4626309242641</c:v>
                </c:pt>
                <c:pt idx="56">
                  <c:v>98.5634111199999</c:v>
                </c:pt>
                <c:pt idx="57">
                  <c:v>98.6642944273209</c:v>
                </c:pt>
                <c:pt idx="58">
                  <c:v>98.7450753844094</c:v>
                </c:pt>
                <c:pt idx="59">
                  <c:v>98.8461445585085</c:v>
                </c:pt>
                <c:pt idx="60">
                  <c:v>98.9473171398562</c:v>
                </c:pt>
                <c:pt idx="61">
                  <c:v>99.0485932342519</c:v>
                </c:pt>
                <c:pt idx="62">
                  <c:v>99.1499729476034</c:v>
                </c:pt>
                <c:pt idx="63">
                  <c:v>99.2514563859266</c:v>
                </c:pt>
                <c:pt idx="64">
                  <c:v>99.3530436553459</c:v>
                </c:pt>
                <c:pt idx="65">
                  <c:v>99.4547348620945</c:v>
                </c:pt>
                <c:pt idx="66">
                  <c:v>99.556530112514</c:v>
                </c:pt>
                <c:pt idx="67">
                  <c:v>99.6584295130552</c:v>
                </c:pt>
                <c:pt idx="68">
                  <c:v>99.7604331702774</c:v>
                </c:pt>
                <c:pt idx="69">
                  <c:v>99.8625411908491</c:v>
                </c:pt>
                <c:pt idx="70">
                  <c:v>99.944302820669</c:v>
                </c:pt>
                <c:pt idx="71">
                  <c:v>100.046598964423</c:v>
                </c:pt>
                <c:pt idx="72">
                  <c:v>100.148999770779</c:v>
                </c:pt>
                <c:pt idx="73">
                  <c:v>96.7896783352487</c:v>
                </c:pt>
                <c:pt idx="74">
                  <c:v>96.888707088778</c:v>
                </c:pt>
                <c:pt idx="75">
                  <c:v>96.9878371619333</c:v>
                </c:pt>
                <c:pt idx="76">
                  <c:v>97.0870686583785</c:v>
                </c:pt>
                <c:pt idx="77">
                  <c:v>97.1665269500326</c:v>
                </c:pt>
                <c:pt idx="78">
                  <c:v>97.2659412699697</c:v>
                </c:pt>
                <c:pt idx="79">
                  <c:v>97.3654573040188</c:v>
                </c:pt>
                <c:pt idx="80">
                  <c:v>97.4650751562471</c:v>
                </c:pt>
                <c:pt idx="81">
                  <c:v>97.5647949308281</c:v>
                </c:pt>
                <c:pt idx="82">
                  <c:v>97.664616732042</c:v>
                </c:pt>
                <c:pt idx="83">
                  <c:v>97.7645406642756</c:v>
                </c:pt>
                <c:pt idx="84">
                  <c:v>97.8645668320227</c:v>
                </c:pt>
                <c:pt idx="85">
                  <c:v>97.9646953398837</c:v>
                </c:pt>
                <c:pt idx="86">
                  <c:v>98.0649262925662</c:v>
                </c:pt>
                <c:pt idx="87">
                  <c:v>98.1652597948851</c:v>
                </c:pt>
                <c:pt idx="88">
                  <c:v>98.2656959517622</c:v>
                </c:pt>
                <c:pt idx="89">
                  <c:v>98.3461188591219</c:v>
                </c:pt>
                <c:pt idx="90">
                  <c:v>98.4467400589499</c:v>
                </c:pt>
                <c:pt idx="91">
                  <c:v>98.547464207689</c:v>
                </c:pt>
                <c:pt idx="92">
                  <c:v>98.6482914106699</c:v>
                </c:pt>
                <c:pt idx="93">
                  <c:v>98.7492217733306</c:v>
                </c:pt>
                <c:pt idx="94">
                  <c:v>98.8502554012172</c:v>
                </c:pt>
                <c:pt idx="95">
                  <c:v>98.951392399984</c:v>
                </c:pt>
                <c:pt idx="96">
                  <c:v>99.0526328753931</c:v>
                </c:pt>
                <c:pt idx="97">
                  <c:v>99.153976933315</c:v>
                </c:pt>
                <c:pt idx="98">
                  <c:v>99.2554246797282</c:v>
                </c:pt>
                <c:pt idx="99">
                  <c:v>99.35697622072</c:v>
                </c:pt>
                <c:pt idx="100">
                  <c:v>99.4586316624862</c:v>
                </c:pt>
                <c:pt idx="101">
                  <c:v>99.5400308958895</c:v>
                </c:pt>
                <c:pt idx="102">
                  <c:v>99.6418736270094</c:v>
                </c:pt>
                <c:pt idx="103">
                  <c:v>99.74382055683</c:v>
                </c:pt>
                <c:pt idx="104">
                  <c:v>99.8458717919604</c:v>
                </c:pt>
                <c:pt idx="105">
                  <c:v>99.9480274391189</c:v>
                </c:pt>
                <c:pt idx="106">
                  <c:v>100.050287605133</c:v>
                </c:pt>
                <c:pt idx="107">
                  <c:v>100.132171063378</c:v>
                </c:pt>
                <c:pt idx="108">
                  <c:v>100.234619632886</c:v>
                </c:pt>
                <c:pt idx="109">
                  <c:v>100.337173020948</c:v>
                </c:pt>
              </c:numCache>
            </c:numRef>
          </c:yVal>
          <c:smooth val="0"/>
        </c:ser>
        <c:axId val="5686526"/>
        <c:axId val="64081773"/>
      </c:scatterChart>
      <c:valAx>
        <c:axId val="5686526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Settlement date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mmm\-yy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4081773"/>
        <c:crosses val="autoZero"/>
        <c:crossBetween val="midCat"/>
      </c:valAx>
      <c:valAx>
        <c:axId val="6408177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Price per 100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686526"/>
        <c:crosses val="autoZero"/>
        <c:crossBetween val="midCat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Duration is a tangent line; convexity bends it toward the true price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"/>
        <c:varyColors val="0"/>
        <c:ser>
          <c:idx val="0"/>
          <c:order val="0"/>
          <c:tx>
            <c:strRef>
              <c:f>'8 Duration Convexity'!N5</c:f>
              <c:strCache>
                <c:ptCount val="1"/>
                <c:pt idx="0">
                  <c:v>Exact price</c:v>
                </c:pt>
              </c:strCache>
            </c:strRef>
          </c:tx>
          <c:spPr>
            <a:solidFill>
              <a:srgbClr val="1f6fb2"/>
            </a:solidFill>
            <a:ln w="28080">
              <a:solidFill>
                <a:srgbClr val="1f6fb2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'8 Duration Convexity'!$M$6:$M$18</c:f>
              <c:numCache>
                <c:formatCode>0.00%</c:formatCode>
                <c:ptCount val="13"/>
                <c:pt idx="0">
                  <c:v>-0.03</c:v>
                </c:pt>
                <c:pt idx="1">
                  <c:v>-0.025</c:v>
                </c:pt>
                <c:pt idx="2">
                  <c:v>-0.02</c:v>
                </c:pt>
                <c:pt idx="3">
                  <c:v>-0.015</c:v>
                </c:pt>
                <c:pt idx="4">
                  <c:v>-0.01</c:v>
                </c:pt>
                <c:pt idx="5">
                  <c:v>-0.005</c:v>
                </c:pt>
                <c:pt idx="6">
                  <c:v>0</c:v>
                </c:pt>
                <c:pt idx="7">
                  <c:v>0.005</c:v>
                </c:pt>
                <c:pt idx="8">
                  <c:v>0.01</c:v>
                </c:pt>
                <c:pt idx="9">
                  <c:v>0.015</c:v>
                </c:pt>
                <c:pt idx="10">
                  <c:v>0.02</c:v>
                </c:pt>
                <c:pt idx="11">
                  <c:v>0.025</c:v>
                </c:pt>
                <c:pt idx="12">
                  <c:v>0.03</c:v>
                </c:pt>
              </c:numCache>
            </c:numRef>
          </c:xVal>
          <c:yVal>
            <c:numRef>
              <c:f>'8 Duration Convexity'!$N$6:$N$18</c:f>
              <c:numCache>
                <c:formatCode>#,##0.00</c:formatCode>
                <c:ptCount val="13"/>
                <c:pt idx="0">
                  <c:v>119.95464046247</c:v>
                </c:pt>
                <c:pt idx="1">
                  <c:v>115.589162285647</c:v>
                </c:pt>
                <c:pt idx="2">
                  <c:v>111.420439100332</c:v>
                </c:pt>
                <c:pt idx="3">
                  <c:v>107.438737430228</c:v>
                </c:pt>
                <c:pt idx="4">
                  <c:v>103.634836536734</c:v>
                </c:pt>
                <c:pt idx="5">
                  <c:v>100</c:v>
                </c:pt>
                <c:pt idx="6">
                  <c:v>96.5259489470478</c:v>
                </c:pt>
                <c:pt idx="7">
                  <c:v>93.2048368275162</c:v>
                </c:pt>
                <c:pt idx="8">
                  <c:v>90.0292256438479</c:v>
                </c:pt>
                <c:pt idx="9">
                  <c:v>86.9920635485463</c:v>
                </c:pt>
                <c:pt idx="10">
                  <c:v>84.0866637265896</c:v>
                </c:pt>
                <c:pt idx="11">
                  <c:v>81.30668448619</c:v>
                </c:pt>
                <c:pt idx="12">
                  <c:v>78.646110485851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'8 Duration Convexity'!O5</c:f>
              <c:strCache>
                <c:ptCount val="1"/>
                <c:pt idx="0">
                  <c:v>Duration only</c:v>
                </c:pt>
              </c:strCache>
            </c:strRef>
          </c:tx>
          <c:spPr>
            <a:solidFill>
              <a:srgbClr val="8e2130"/>
            </a:solidFill>
            <a:ln w="28080">
              <a:solidFill>
                <a:srgbClr val="8e2130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'8 Duration Convexity'!$M$6:$M$18</c:f>
              <c:numCache>
                <c:formatCode>0.00%</c:formatCode>
                <c:ptCount val="13"/>
                <c:pt idx="0">
                  <c:v>-0.03</c:v>
                </c:pt>
                <c:pt idx="1">
                  <c:v>-0.025</c:v>
                </c:pt>
                <c:pt idx="2">
                  <c:v>-0.02</c:v>
                </c:pt>
                <c:pt idx="3">
                  <c:v>-0.015</c:v>
                </c:pt>
                <c:pt idx="4">
                  <c:v>-0.01</c:v>
                </c:pt>
                <c:pt idx="5">
                  <c:v>-0.005</c:v>
                </c:pt>
                <c:pt idx="6">
                  <c:v>0</c:v>
                </c:pt>
                <c:pt idx="7">
                  <c:v>0.005</c:v>
                </c:pt>
                <c:pt idx="8">
                  <c:v>0.01</c:v>
                </c:pt>
                <c:pt idx="9">
                  <c:v>0.015</c:v>
                </c:pt>
                <c:pt idx="10">
                  <c:v>0.02</c:v>
                </c:pt>
                <c:pt idx="11">
                  <c:v>0.025</c:v>
                </c:pt>
                <c:pt idx="12">
                  <c:v>0.03</c:v>
                </c:pt>
              </c:numCache>
            </c:numRef>
          </c:xVal>
          <c:yVal>
            <c:numRef>
              <c:f>'8 Duration Convexity'!$O$6:$O$18</c:f>
              <c:numCache>
                <c:formatCode>#,##0.00</c:formatCode>
                <c:ptCount val="13"/>
                <c:pt idx="0">
                  <c:v>116.905710003061</c:v>
                </c:pt>
                <c:pt idx="1">
                  <c:v>113.509083160392</c:v>
                </c:pt>
                <c:pt idx="2">
                  <c:v>110.112456317723</c:v>
                </c:pt>
                <c:pt idx="3">
                  <c:v>106.715829475054</c:v>
                </c:pt>
                <c:pt idx="4">
                  <c:v>103.319202632386</c:v>
                </c:pt>
                <c:pt idx="5">
                  <c:v>99.9225757897167</c:v>
                </c:pt>
                <c:pt idx="6">
                  <c:v>96.5259489470478</c:v>
                </c:pt>
                <c:pt idx="7">
                  <c:v>93.129322104379</c:v>
                </c:pt>
                <c:pt idx="8">
                  <c:v>89.7326952617101</c:v>
                </c:pt>
                <c:pt idx="9">
                  <c:v>86.3360684190413</c:v>
                </c:pt>
                <c:pt idx="10">
                  <c:v>82.9394415763724</c:v>
                </c:pt>
                <c:pt idx="11">
                  <c:v>79.5428147337036</c:v>
                </c:pt>
                <c:pt idx="12">
                  <c:v>76.1461878910347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'8 Duration Convexity'!P5</c:f>
              <c:strCache>
                <c:ptCount val="1"/>
                <c:pt idx="0">
                  <c:v>Duration + convexity</c:v>
                </c:pt>
              </c:strCache>
            </c:strRef>
          </c:tx>
          <c:spPr>
            <a:solidFill>
              <a:srgbClr val="2f8f6b"/>
            </a:solidFill>
            <a:ln w="28080">
              <a:solidFill>
                <a:srgbClr val="2f8f6b"/>
              </a:solidFill>
              <a:prstDash val="sysDot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'8 Duration Convexity'!$M$6:$M$18</c:f>
              <c:numCache>
                <c:formatCode>0.00%</c:formatCode>
                <c:ptCount val="13"/>
                <c:pt idx="0">
                  <c:v>-0.03</c:v>
                </c:pt>
                <c:pt idx="1">
                  <c:v>-0.025</c:v>
                </c:pt>
                <c:pt idx="2">
                  <c:v>-0.02</c:v>
                </c:pt>
                <c:pt idx="3">
                  <c:v>-0.015</c:v>
                </c:pt>
                <c:pt idx="4">
                  <c:v>-0.01</c:v>
                </c:pt>
                <c:pt idx="5">
                  <c:v>-0.005</c:v>
                </c:pt>
                <c:pt idx="6">
                  <c:v>0</c:v>
                </c:pt>
                <c:pt idx="7">
                  <c:v>0.005</c:v>
                </c:pt>
                <c:pt idx="8">
                  <c:v>0.01</c:v>
                </c:pt>
                <c:pt idx="9">
                  <c:v>0.015</c:v>
                </c:pt>
                <c:pt idx="10">
                  <c:v>0.02</c:v>
                </c:pt>
                <c:pt idx="11">
                  <c:v>0.025</c:v>
                </c:pt>
                <c:pt idx="12">
                  <c:v>0.03</c:v>
                </c:pt>
              </c:numCache>
            </c:numRef>
          </c:xVal>
          <c:yVal>
            <c:numRef>
              <c:f>'8 Duration Convexity'!$P$6:$P$18</c:f>
              <c:numCache>
                <c:formatCode>#,##0.00</c:formatCode>
                <c:ptCount val="13"/>
                <c:pt idx="0">
                  <c:v>119.658151374851</c:v>
                </c:pt>
                <c:pt idx="1">
                  <c:v>115.420500779691</c:v>
                </c:pt>
                <c:pt idx="2">
                  <c:v>111.335763594074</c:v>
                </c:pt>
                <c:pt idx="3">
                  <c:v>107.403939818002</c:v>
                </c:pt>
                <c:pt idx="4">
                  <c:v>103.625029451473</c:v>
                </c:pt>
                <c:pt idx="5">
                  <c:v>99.9990324944886</c:v>
                </c:pt>
                <c:pt idx="6">
                  <c:v>96.5259489470478</c:v>
                </c:pt>
                <c:pt idx="7">
                  <c:v>93.2057788091509</c:v>
                </c:pt>
                <c:pt idx="8">
                  <c:v>90.0385220807979</c:v>
                </c:pt>
                <c:pt idx="9">
                  <c:v>87.0241787619887</c:v>
                </c:pt>
                <c:pt idx="10">
                  <c:v>84.1627488527235</c:v>
                </c:pt>
                <c:pt idx="11">
                  <c:v>81.4542323530021</c:v>
                </c:pt>
                <c:pt idx="12">
                  <c:v>78.8986292628246</c:v>
                </c:pt>
              </c:numCache>
            </c:numRef>
          </c:yVal>
          <c:smooth val="0"/>
        </c:ser>
        <c:axId val="44976390"/>
        <c:axId val="82719148"/>
      </c:scatterChart>
      <c:valAx>
        <c:axId val="44976390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Change in yield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2719148"/>
        <c:crosses val="autoZero"/>
        <c:crossBetween val="midCat"/>
      </c:valAx>
      <c:valAx>
        <c:axId val="8271914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Price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4976390"/>
        <c:crosses val="autoZero"/>
        <c:crossBetween val="midCat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4.xml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chart" Target="../charts/chart5.xml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chart" Target="../charts/chart6.xml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chart" Target="../charts/chart7.xml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chart" Target="../charts/chart8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25</xdr:row>
      <xdr:rowOff>131040</xdr:rowOff>
    </xdr:from>
    <xdr:to>
      <xdr:col>2</xdr:col>
      <xdr:colOff>2658240</xdr:colOff>
      <xdr:row>41</xdr:row>
      <xdr:rowOff>132120</xdr:rowOff>
    </xdr:to>
    <xdr:graphicFrame>
      <xdr:nvGraphicFramePr>
        <xdr:cNvPr id="0" name="Chart 1"/>
        <xdr:cNvGraphicFramePr/>
      </xdr:nvGraphicFramePr>
      <xdr:xfrm>
        <a:off x="0" y="5143680"/>
        <a:ext cx="575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20</xdr:row>
      <xdr:rowOff>131040</xdr:rowOff>
    </xdr:from>
    <xdr:to>
      <xdr:col>2</xdr:col>
      <xdr:colOff>2376360</xdr:colOff>
      <xdr:row>35</xdr:row>
      <xdr:rowOff>153000</xdr:rowOff>
    </xdr:to>
    <xdr:graphicFrame>
      <xdr:nvGraphicFramePr>
        <xdr:cNvPr id="1" name="Chart 1"/>
        <xdr:cNvGraphicFramePr/>
      </xdr:nvGraphicFramePr>
      <xdr:xfrm>
        <a:off x="0" y="4191120"/>
        <a:ext cx="57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20</xdr:row>
      <xdr:rowOff>131040</xdr:rowOff>
    </xdr:from>
    <xdr:to>
      <xdr:col>2</xdr:col>
      <xdr:colOff>2094480</xdr:colOff>
      <xdr:row>35</xdr:row>
      <xdr:rowOff>153000</xdr:rowOff>
    </xdr:to>
    <xdr:graphicFrame>
      <xdr:nvGraphicFramePr>
        <xdr:cNvPr id="2" name="Chart 1"/>
        <xdr:cNvGraphicFramePr/>
      </xdr:nvGraphicFramePr>
      <xdr:xfrm>
        <a:off x="0" y="4191120"/>
        <a:ext cx="57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25</xdr:row>
      <xdr:rowOff>131040</xdr:rowOff>
    </xdr:from>
    <xdr:to>
      <xdr:col>2</xdr:col>
      <xdr:colOff>1812600</xdr:colOff>
      <xdr:row>41</xdr:row>
      <xdr:rowOff>142560</xdr:rowOff>
    </xdr:to>
    <xdr:graphicFrame>
      <xdr:nvGraphicFramePr>
        <xdr:cNvPr id="3" name="Chart 1"/>
        <xdr:cNvGraphicFramePr/>
      </xdr:nvGraphicFramePr>
      <xdr:xfrm>
        <a:off x="0" y="5143680"/>
        <a:ext cx="575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18</xdr:row>
      <xdr:rowOff>131040</xdr:rowOff>
    </xdr:from>
    <xdr:to>
      <xdr:col>2</xdr:col>
      <xdr:colOff>2376360</xdr:colOff>
      <xdr:row>33</xdr:row>
      <xdr:rowOff>153000</xdr:rowOff>
    </xdr:to>
    <xdr:graphicFrame>
      <xdr:nvGraphicFramePr>
        <xdr:cNvPr id="4" name="Chart 1"/>
        <xdr:cNvGraphicFramePr/>
      </xdr:nvGraphicFramePr>
      <xdr:xfrm>
        <a:off x="0" y="4000680"/>
        <a:ext cx="57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18</xdr:row>
      <xdr:rowOff>131040</xdr:rowOff>
    </xdr:from>
    <xdr:to>
      <xdr:col>10</xdr:col>
      <xdr:colOff>277200</xdr:colOff>
      <xdr:row>32</xdr:row>
      <xdr:rowOff>163800</xdr:rowOff>
    </xdr:to>
    <xdr:graphicFrame>
      <xdr:nvGraphicFramePr>
        <xdr:cNvPr id="5" name="Chart 1"/>
        <xdr:cNvGraphicFramePr/>
      </xdr:nvGraphicFramePr>
      <xdr:xfrm>
        <a:off x="7260120" y="4000680"/>
        <a:ext cx="53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27</xdr:row>
      <xdr:rowOff>321480</xdr:rowOff>
    </xdr:from>
    <xdr:to>
      <xdr:col>2</xdr:col>
      <xdr:colOff>1953360</xdr:colOff>
      <xdr:row>44</xdr:row>
      <xdr:rowOff>132120</xdr:rowOff>
    </xdr:to>
    <xdr:graphicFrame>
      <xdr:nvGraphicFramePr>
        <xdr:cNvPr id="6" name="Chart 1"/>
        <xdr:cNvGraphicFramePr/>
      </xdr:nvGraphicFramePr>
      <xdr:xfrm>
        <a:off x="0" y="5524560"/>
        <a:ext cx="575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12</xdr:col>
      <xdr:colOff>0</xdr:colOff>
      <xdr:row>19</xdr:row>
      <xdr:rowOff>131040</xdr:rowOff>
    </xdr:from>
    <xdr:to>
      <xdr:col>19</xdr:col>
      <xdr:colOff>385560</xdr:colOff>
      <xdr:row>36</xdr:row>
      <xdr:rowOff>132120</xdr:rowOff>
    </xdr:to>
    <xdr:graphicFrame>
      <xdr:nvGraphicFramePr>
        <xdr:cNvPr id="7" name="Chart 1"/>
        <xdr:cNvGraphicFramePr/>
      </xdr:nvGraphicFramePr>
      <xdr:xfrm>
        <a:off x="13580640" y="4000680"/>
        <a:ext cx="611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drawing" Target="../drawings/drawing8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23A63"/>
    <pageSetUpPr fitToPage="true"/>
  </sheetPr>
  <dimension ref="B2:C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3" min="3" style="0" width="80"/>
  </cols>
  <sheetData>
    <row r="2" customFormat="false" ht="24.4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4" t="s">
        <v>3</v>
      </c>
      <c r="C6" s="5" t="s">
        <v>4</v>
      </c>
    </row>
    <row r="7" customFormat="false" ht="15" hidden="false" customHeight="false" outlineLevel="0" collapsed="false">
      <c r="B7" s="6" t="s">
        <v>5</v>
      </c>
      <c r="C7" s="5" t="s">
        <v>6</v>
      </c>
    </row>
    <row r="8" customFormat="false" ht="15" hidden="false" customHeight="false" outlineLevel="0" collapsed="false">
      <c r="B8" s="7" t="s">
        <v>7</v>
      </c>
      <c r="C8" s="5" t="s">
        <v>8</v>
      </c>
    </row>
    <row r="9" customFormat="false" ht="15" hidden="false" customHeight="false" outlineLevel="0" collapsed="false">
      <c r="B9" s="8" t="s">
        <v>9</v>
      </c>
      <c r="C9" s="5" t="s">
        <v>10</v>
      </c>
    </row>
    <row r="10" customFormat="false" ht="15" hidden="false" customHeight="false" outlineLevel="0" collapsed="false">
      <c r="B10" s="8" t="s">
        <v>11</v>
      </c>
      <c r="C10" s="5" t="s">
        <v>12</v>
      </c>
    </row>
    <row r="11" customFormat="false" ht="15" hidden="false" customHeight="false" outlineLevel="0" collapsed="false">
      <c r="B11" s="8" t="s">
        <v>13</v>
      </c>
      <c r="C11" s="5" t="s">
        <v>14</v>
      </c>
    </row>
    <row r="12" customFormat="false" ht="15" hidden="false" customHeight="false" outlineLevel="0" collapsed="false">
      <c r="B12" s="8" t="s">
        <v>15</v>
      </c>
      <c r="C12" s="5" t="s">
        <v>16</v>
      </c>
    </row>
    <row r="13" customFormat="false" ht="15" hidden="false" customHeight="false" outlineLevel="0" collapsed="false">
      <c r="B13" s="8" t="s">
        <v>17</v>
      </c>
      <c r="C13" s="5" t="s">
        <v>18</v>
      </c>
    </row>
    <row r="15" customFormat="false" ht="15" hidden="false" customHeight="false" outlineLevel="0" collapsed="false">
      <c r="B15" s="3" t="s">
        <v>19</v>
      </c>
    </row>
    <row r="16" customFormat="false" ht="15" hidden="false" customHeight="false" outlineLevel="0" collapsed="false">
      <c r="B16" s="9" t="s">
        <v>20</v>
      </c>
      <c r="C16" s="5" t="s">
        <v>21</v>
      </c>
    </row>
    <row r="17" customFormat="false" ht="15" hidden="false" customHeight="false" outlineLevel="0" collapsed="false">
      <c r="B17" s="9" t="s">
        <v>22</v>
      </c>
      <c r="C17" s="5" t="s">
        <v>23</v>
      </c>
    </row>
    <row r="18" customFormat="false" ht="15" hidden="false" customHeight="false" outlineLevel="0" collapsed="false">
      <c r="B18" s="9" t="s">
        <v>24</v>
      </c>
      <c r="C18" s="5" t="s">
        <v>25</v>
      </c>
    </row>
    <row r="19" customFormat="false" ht="15" hidden="false" customHeight="false" outlineLevel="0" collapsed="false">
      <c r="B19" s="9" t="s">
        <v>26</v>
      </c>
      <c r="C19" s="5" t="s">
        <v>27</v>
      </c>
    </row>
    <row r="20" customFormat="false" ht="15" hidden="false" customHeight="false" outlineLevel="0" collapsed="false">
      <c r="B20" s="9" t="s">
        <v>28</v>
      </c>
      <c r="C20" s="5" t="s">
        <v>29</v>
      </c>
    </row>
    <row r="21" customFormat="false" ht="15" hidden="false" customHeight="false" outlineLevel="0" collapsed="false">
      <c r="B21" s="9" t="s">
        <v>30</v>
      </c>
      <c r="C21" s="5" t="s">
        <v>31</v>
      </c>
    </row>
    <row r="22" customFormat="false" ht="15" hidden="false" customHeight="false" outlineLevel="0" collapsed="false">
      <c r="B22" s="9" t="s">
        <v>32</v>
      </c>
      <c r="C22" s="5" t="s">
        <v>33</v>
      </c>
    </row>
    <row r="23" customFormat="false" ht="15" hidden="false" customHeight="false" outlineLevel="0" collapsed="false">
      <c r="B23" s="9" t="s">
        <v>34</v>
      </c>
      <c r="C23" s="5" t="s">
        <v>35</v>
      </c>
    </row>
    <row r="25" customFormat="false" ht="15" hidden="false" customHeight="false" outlineLevel="0" collapsed="false">
      <c r="B25" s="3" t="s">
        <v>36</v>
      </c>
    </row>
    <row r="26" customFormat="false" ht="15" hidden="false" customHeight="false" outlineLevel="0" collapsed="false">
      <c r="B26" s="10" t="s">
        <v>37</v>
      </c>
      <c r="C26" s="5" t="s">
        <v>38</v>
      </c>
    </row>
    <row r="27" customFormat="false" ht="15" hidden="false" customHeight="false" outlineLevel="0" collapsed="false">
      <c r="B27" s="10" t="s">
        <v>39</v>
      </c>
      <c r="C27" s="5" t="s">
        <v>40</v>
      </c>
    </row>
    <row r="28" customFormat="false" ht="35.05" hidden="false" customHeight="false" outlineLevel="0" collapsed="false">
      <c r="B28" s="10" t="s">
        <v>41</v>
      </c>
      <c r="C28" s="5" t="s">
        <v>42</v>
      </c>
    </row>
    <row r="29" customFormat="false" ht="15" hidden="false" customHeight="false" outlineLevel="0" collapsed="false">
      <c r="B29" s="10" t="s">
        <v>43</v>
      </c>
      <c r="C29" s="5" t="s">
        <v>44</v>
      </c>
    </row>
    <row r="30" customFormat="false" ht="23.85" hidden="false" customHeight="false" outlineLevel="0" collapsed="false">
      <c r="B30" s="10" t="s">
        <v>45</v>
      </c>
      <c r="C30" s="5" t="s">
        <v>46</v>
      </c>
    </row>
    <row r="31" customFormat="false" ht="15" hidden="false" customHeight="false" outlineLevel="0" collapsed="false">
      <c r="B31" s="10" t="s">
        <v>47</v>
      </c>
      <c r="C31" s="5" t="s">
        <v>48</v>
      </c>
    </row>
    <row r="33" customFormat="false" ht="15" hidden="false" customHeight="false" outlineLevel="0" collapsed="false">
      <c r="B33" s="11" t="s">
        <v>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972F"/>
    <pageSetUpPr fitToPage="true"/>
  </sheetPr>
  <dimension ref="A1:N6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3" min="3" style="0" width="40"/>
    <col collapsed="false" customWidth="true" hidden="false" outlineLevel="0" max="4" min="4" style="0" width="3"/>
    <col collapsed="false" customWidth="true" hidden="false" outlineLevel="0" max="5" min="5" style="0" width="8"/>
    <col collapsed="false" customWidth="true" hidden="false" outlineLevel="0" max="6" min="6" style="0" width="9"/>
    <col collapsed="false" customWidth="true" hidden="false" outlineLevel="0" max="7" min="7" style="0" width="11"/>
    <col collapsed="false" customWidth="true" hidden="false" outlineLevel="0" max="8" min="8" style="0" width="13"/>
    <col collapsed="false" customWidth="true" hidden="false" outlineLevel="0" max="9" min="9" style="0" width="12"/>
    <col collapsed="false" customWidth="true" hidden="false" outlineLevel="0" max="10" min="10" style="0" width="3"/>
    <col collapsed="false" customWidth="true" hidden="false" outlineLevel="0" max="11" min="11" style="0" width="10"/>
    <col collapsed="false" customWidth="true" hidden="false" outlineLevel="0" max="14" min="12" style="0" width="12"/>
  </cols>
  <sheetData>
    <row r="1" customFormat="false" ht="19.7" hidden="false" customHeight="false" outlineLevel="0" collapsed="false">
      <c r="A1" s="12" t="s">
        <v>50</v>
      </c>
    </row>
    <row r="2" customFormat="false" ht="15" hidden="false" customHeight="false" outlineLevel="0" collapsed="false">
      <c r="A2" s="2" t="s">
        <v>51</v>
      </c>
    </row>
    <row r="4" customFormat="false" ht="15" hidden="false" customHeight="false" outlineLevel="0" collapsed="false">
      <c r="A4" s="13" t="s">
        <v>52</v>
      </c>
      <c r="B4" s="14"/>
      <c r="C4" s="14"/>
      <c r="E4" s="3" t="s">
        <v>53</v>
      </c>
    </row>
    <row r="5" customFormat="false" ht="30" hidden="false" customHeight="true" outlineLevel="0" collapsed="false">
      <c r="A5" s="5" t="s">
        <v>9</v>
      </c>
      <c r="B5" s="15" t="n">
        <v>100</v>
      </c>
      <c r="E5" s="16" t="s">
        <v>54</v>
      </c>
      <c r="F5" s="16" t="s">
        <v>55</v>
      </c>
      <c r="G5" s="16" t="s">
        <v>56</v>
      </c>
      <c r="H5" s="16" t="s">
        <v>57</v>
      </c>
      <c r="I5" s="16" t="s">
        <v>58</v>
      </c>
    </row>
    <row r="6" customFormat="false" ht="15" hidden="false" customHeight="false" outlineLevel="0" collapsed="false">
      <c r="A6" s="5" t="s">
        <v>59</v>
      </c>
      <c r="B6" s="17" t="n">
        <v>0.07</v>
      </c>
      <c r="E6" s="18" t="n">
        <v>1</v>
      </c>
      <c r="F6" s="19" t="n">
        <f aca="false">E6/$B$7</f>
        <v>0.5</v>
      </c>
      <c r="G6" s="20" t="n">
        <f aca="false">IF(E6&lt;=$B$15,$B$14+IF(E6=$B$15,$B$5,0),0)</f>
        <v>3.5</v>
      </c>
      <c r="H6" s="21" t="n">
        <f aca="false">1/(1+$B$16)^E6</f>
        <v>0.963855421686747</v>
      </c>
      <c r="I6" s="20" t="n">
        <f aca="false">G6*H6</f>
        <v>3.37349397590361</v>
      </c>
    </row>
    <row r="7" customFormat="false" ht="15" hidden="false" customHeight="false" outlineLevel="0" collapsed="false">
      <c r="A7" s="5" t="s">
        <v>60</v>
      </c>
      <c r="B7" s="22" t="n">
        <v>2</v>
      </c>
      <c r="E7" s="18" t="n">
        <f aca="false">E6+1</f>
        <v>2</v>
      </c>
      <c r="F7" s="19" t="n">
        <f aca="false">E7/$B$7</f>
        <v>1</v>
      </c>
      <c r="G7" s="20" t="n">
        <f aca="false">IF(E7&lt;=$B$15,$B$14+IF(E7=$B$15,$B$5,0),0)</f>
        <v>3.5</v>
      </c>
      <c r="H7" s="21" t="n">
        <f aca="false">1/(1+$B$16)^E7</f>
        <v>0.929017273914937</v>
      </c>
      <c r="I7" s="20" t="n">
        <f aca="false">G7*H7</f>
        <v>3.25156045870228</v>
      </c>
    </row>
    <row r="8" customFormat="false" ht="15" hidden="false" customHeight="false" outlineLevel="0" collapsed="false">
      <c r="A8" s="5" t="s">
        <v>61</v>
      </c>
      <c r="B8" s="22" t="n">
        <v>10</v>
      </c>
      <c r="E8" s="18" t="n">
        <f aca="false">E7+1</f>
        <v>3</v>
      </c>
      <c r="F8" s="19" t="n">
        <f aca="false">E8/$B$7</f>
        <v>1.5</v>
      </c>
      <c r="G8" s="20" t="n">
        <f aca="false">IF(E8&lt;=$B$15,$B$14+IF(E8=$B$15,$B$5,0),0)</f>
        <v>3.5</v>
      </c>
      <c r="H8" s="21" t="n">
        <f aca="false">1/(1+$B$16)^E8</f>
        <v>0.895438336303553</v>
      </c>
      <c r="I8" s="20" t="n">
        <f aca="false">G8*H8</f>
        <v>3.13403417706244</v>
      </c>
    </row>
    <row r="9" customFormat="false" ht="15" hidden="false" customHeight="false" outlineLevel="0" collapsed="false">
      <c r="A9" s="5" t="s">
        <v>62</v>
      </c>
      <c r="B9" s="17" t="n">
        <v>0.075</v>
      </c>
      <c r="E9" s="18" t="n">
        <f aca="false">E8+1</f>
        <v>4</v>
      </c>
      <c r="F9" s="19" t="n">
        <f aca="false">E9/$B$7</f>
        <v>2</v>
      </c>
      <c r="G9" s="20" t="n">
        <f aca="false">IF(E9&lt;=$B$15,$B$14+IF(E9=$B$15,$B$5,0),0)</f>
        <v>3.5</v>
      </c>
      <c r="H9" s="21" t="n">
        <f aca="false">1/(1+$B$16)^E9</f>
        <v>0.863073095232341</v>
      </c>
      <c r="I9" s="20" t="n">
        <f aca="false">G9*H9</f>
        <v>3.02075583331319</v>
      </c>
    </row>
    <row r="10" customFormat="false" ht="15" hidden="false" customHeight="false" outlineLevel="0" collapsed="false">
      <c r="A10" s="5" t="s">
        <v>63</v>
      </c>
      <c r="B10" s="23" t="n">
        <v>46341</v>
      </c>
      <c r="E10" s="18" t="n">
        <f aca="false">E9+1</f>
        <v>5</v>
      </c>
      <c r="F10" s="19" t="n">
        <f aca="false">E10/$B$7</f>
        <v>2.5</v>
      </c>
      <c r="G10" s="20" t="n">
        <f aca="false">IF(E10&lt;=$B$15,$B$14+IF(E10=$B$15,$B$5,0),0)</f>
        <v>3.5</v>
      </c>
      <c r="H10" s="21" t="n">
        <f aca="false">1/(1+$B$16)^E10</f>
        <v>0.831877682151654</v>
      </c>
      <c r="I10" s="20" t="n">
        <f aca="false">G10*H10</f>
        <v>2.91157188753079</v>
      </c>
    </row>
    <row r="11" customFormat="false" ht="15" hidden="false" customHeight="false" outlineLevel="0" collapsed="false">
      <c r="A11" s="5" t="s">
        <v>64</v>
      </c>
      <c r="B11" s="23" t="n">
        <v>49994</v>
      </c>
      <c r="E11" s="18" t="n">
        <f aca="false">E10+1</f>
        <v>6</v>
      </c>
      <c r="F11" s="19" t="n">
        <f aca="false">E11/$B$7</f>
        <v>3</v>
      </c>
      <c r="G11" s="20" t="n">
        <f aca="false">IF(E11&lt;=$B$15,$B$14+IF(E11=$B$15,$B$5,0),0)</f>
        <v>3.5</v>
      </c>
      <c r="H11" s="21" t="n">
        <f aca="false">1/(1+$B$16)^E11</f>
        <v>0.801809814122076</v>
      </c>
      <c r="I11" s="20" t="n">
        <f aca="false">G11*H11</f>
        <v>2.80633434942726</v>
      </c>
    </row>
    <row r="12" customFormat="false" ht="15" hidden="false" customHeight="false" outlineLevel="0" collapsed="false">
      <c r="E12" s="18" t="n">
        <f aca="false">E11+1</f>
        <v>7</v>
      </c>
      <c r="F12" s="19" t="n">
        <f aca="false">E12/$B$7</f>
        <v>3.5</v>
      </c>
      <c r="G12" s="20" t="n">
        <f aca="false">IF(E12&lt;=$B$15,$B$14+IF(E12=$B$15,$B$5,0),0)</f>
        <v>3.5</v>
      </c>
      <c r="H12" s="21" t="n">
        <f aca="false">1/(1+$B$16)^E12</f>
        <v>0.772828736503205</v>
      </c>
      <c r="I12" s="20" t="n">
        <f aca="false">G12*H12</f>
        <v>2.70490057776122</v>
      </c>
    </row>
    <row r="13" customFormat="false" ht="15" hidden="false" customHeight="false" outlineLevel="0" collapsed="false">
      <c r="A13" s="13" t="s">
        <v>65</v>
      </c>
      <c r="B13" s="14"/>
      <c r="C13" s="14"/>
      <c r="E13" s="18" t="n">
        <f aca="false">E12+1</f>
        <v>8</v>
      </c>
      <c r="F13" s="19" t="n">
        <f aca="false">E13/$B$7</f>
        <v>4</v>
      </c>
      <c r="G13" s="20" t="n">
        <f aca="false">IF(E13&lt;=$B$15,$B$14+IF(E13=$B$15,$B$5,0),0)</f>
        <v>3.5</v>
      </c>
      <c r="H13" s="21" t="n">
        <f aca="false">1/(1+$B$16)^E13</f>
        <v>0.744895167713933</v>
      </c>
      <c r="I13" s="20" t="n">
        <f aca="false">G13*H13</f>
        <v>2.60713308699877</v>
      </c>
    </row>
    <row r="14" customFormat="false" ht="15" hidden="false" customHeight="false" outlineLevel="0" collapsed="false">
      <c r="A14" s="5" t="s">
        <v>66</v>
      </c>
      <c r="B14" s="20" t="n">
        <f aca="false">B5*B6/B7</f>
        <v>3.5</v>
      </c>
      <c r="C14" s="24" t="s">
        <v>67</v>
      </c>
      <c r="E14" s="18" t="n">
        <f aca="false">E13+1</f>
        <v>9</v>
      </c>
      <c r="F14" s="19" t="n">
        <f aca="false">E14/$B$7</f>
        <v>4.5</v>
      </c>
      <c r="G14" s="20" t="n">
        <f aca="false">IF(E14&lt;=$B$15,$B$14+IF(E14=$B$15,$B$5,0),0)</f>
        <v>3.5</v>
      </c>
      <c r="H14" s="21" t="n">
        <f aca="false">1/(1+$B$16)^E14</f>
        <v>0.717971245989333</v>
      </c>
      <c r="I14" s="20" t="n">
        <f aca="false">G14*H14</f>
        <v>2.51289936096266</v>
      </c>
    </row>
    <row r="15" customFormat="false" ht="15" hidden="false" customHeight="false" outlineLevel="0" collapsed="false">
      <c r="A15" s="5" t="s">
        <v>68</v>
      </c>
      <c r="B15" s="18" t="n">
        <f aca="false">B7*B8</f>
        <v>20</v>
      </c>
      <c r="C15" s="24" t="s">
        <v>69</v>
      </c>
      <c r="E15" s="18" t="n">
        <f aca="false">E14+1</f>
        <v>10</v>
      </c>
      <c r="F15" s="19" t="n">
        <f aca="false">E15/$B$7</f>
        <v>5</v>
      </c>
      <c r="G15" s="20" t="n">
        <f aca="false">IF(E15&lt;=$B$15,$B$14+IF(E15=$B$15,$B$5,0),0)</f>
        <v>3.5</v>
      </c>
      <c r="H15" s="21" t="n">
        <f aca="false">1/(1+$B$16)^E15</f>
        <v>0.692020478062007</v>
      </c>
      <c r="I15" s="20" t="n">
        <f aca="false">G15*H15</f>
        <v>2.42207167321703</v>
      </c>
    </row>
    <row r="16" customFormat="false" ht="15" hidden="false" customHeight="false" outlineLevel="0" collapsed="false">
      <c r="A16" s="5" t="s">
        <v>70</v>
      </c>
      <c r="B16" s="25" t="n">
        <f aca="false">B9/B7</f>
        <v>0.0375</v>
      </c>
      <c r="C16" s="24" t="s">
        <v>71</v>
      </c>
      <c r="E16" s="18" t="n">
        <f aca="false">E15+1</f>
        <v>11</v>
      </c>
      <c r="F16" s="19" t="n">
        <f aca="false">E16/$B$7</f>
        <v>5.5</v>
      </c>
      <c r="G16" s="20" t="n">
        <f aca="false">IF(E16&lt;=$B$15,$B$14+IF(E16=$B$15,$B$5,0),0)</f>
        <v>3.5</v>
      </c>
      <c r="H16" s="21" t="n">
        <f aca="false">1/(1+$B$16)^E16</f>
        <v>0.66700768969832</v>
      </c>
      <c r="I16" s="20" t="n">
        <f aca="false">G16*H16</f>
        <v>2.33452691394412</v>
      </c>
    </row>
    <row r="17" customFormat="false" ht="15" hidden="false" customHeight="false" outlineLevel="0" collapsed="false">
      <c r="A17" s="5" t="s">
        <v>72</v>
      </c>
      <c r="B17" s="26" t="n">
        <f aca="false">SUM(I6:I65)</f>
        <v>96.5259489470477</v>
      </c>
      <c r="C17" s="24" t="s">
        <v>73</v>
      </c>
      <c r="E17" s="18" t="n">
        <f aca="false">E16+1</f>
        <v>12</v>
      </c>
      <c r="F17" s="19" t="n">
        <f aca="false">E17/$B$7</f>
        <v>6</v>
      </c>
      <c r="G17" s="20" t="n">
        <f aca="false">IF(E17&lt;=$B$15,$B$14+IF(E17=$B$15,$B$5,0),0)</f>
        <v>3.5</v>
      </c>
      <c r="H17" s="21" t="n">
        <f aca="false">1/(1+$B$16)^E17</f>
        <v>0.642898978022477</v>
      </c>
      <c r="I17" s="20" t="n">
        <f aca="false">G17*H17</f>
        <v>2.25014642307867</v>
      </c>
    </row>
    <row r="18" customFormat="false" ht="15" hidden="false" customHeight="false" outlineLevel="0" collapsed="false">
      <c r="A18" s="5" t="s">
        <v>74</v>
      </c>
      <c r="B18" s="26" t="n">
        <f aca="false">-PV(B16,B15,B14,B5)</f>
        <v>96.5259489470478</v>
      </c>
      <c r="C18" s="24" t="s">
        <v>75</v>
      </c>
      <c r="E18" s="18" t="n">
        <f aca="false">E17+1</f>
        <v>13</v>
      </c>
      <c r="F18" s="19" t="n">
        <f aca="false">E18/$B$7</f>
        <v>6.5</v>
      </c>
      <c r="G18" s="20" t="n">
        <f aca="false">IF(E18&lt;=$B$15,$B$14+IF(E18=$B$15,$B$5,0),0)</f>
        <v>3.5</v>
      </c>
      <c r="H18" s="21" t="n">
        <f aca="false">1/(1+$B$16)^E18</f>
        <v>0.619661665563834</v>
      </c>
      <c r="I18" s="20" t="n">
        <f aca="false">G18*H18</f>
        <v>2.16881582947342</v>
      </c>
    </row>
    <row r="19" customFormat="false" ht="15" hidden="false" customHeight="false" outlineLevel="0" collapsed="false">
      <c r="A19" s="5" t="s">
        <v>76</v>
      </c>
      <c r="B19" s="26" t="n">
        <f aca="false">PRICE(B10,B11,B6,B9,100,B7,0)*B5/100</f>
        <v>96.5259489470477</v>
      </c>
      <c r="C19" s="24" t="s">
        <v>77</v>
      </c>
      <c r="E19" s="18" t="n">
        <f aca="false">E18+1</f>
        <v>14</v>
      </c>
      <c r="F19" s="19" t="n">
        <f aca="false">E19/$B$7</f>
        <v>7</v>
      </c>
      <c r="G19" s="20" t="n">
        <f aca="false">IF(E19&lt;=$B$15,$B$14+IF(E19=$B$15,$B$5,0),0)</f>
        <v>3.5</v>
      </c>
      <c r="H19" s="21" t="n">
        <f aca="false">1/(1+$B$16)^E19</f>
        <v>0.597264255965141</v>
      </c>
      <c r="I19" s="20" t="n">
        <f aca="false">G19*H19</f>
        <v>2.09042489587799</v>
      </c>
    </row>
    <row r="20" customFormat="false" ht="15" hidden="false" customHeight="false" outlineLevel="0" collapsed="false">
      <c r="A20" s="5" t="s">
        <v>78</v>
      </c>
      <c r="B20" s="27" t="str">
        <f aca="false">IF(ABS(B18-B5)&lt;0.005,"Par",IF(B18&gt;B5,"Premium","Discount"))</f>
        <v>Discount</v>
      </c>
      <c r="C20" s="24" t="s">
        <v>79</v>
      </c>
      <c r="E20" s="18" t="n">
        <f aca="false">E19+1</f>
        <v>15</v>
      </c>
      <c r="F20" s="19" t="n">
        <f aca="false">E20/$B$7</f>
        <v>7.5</v>
      </c>
      <c r="G20" s="20" t="n">
        <f aca="false">IF(E20&lt;=$B$15,$B$14+IF(E20=$B$15,$B$5,0),0)</f>
        <v>3.5</v>
      </c>
      <c r="H20" s="21" t="n">
        <f aca="false">1/(1+$B$16)^E20</f>
        <v>0.575676391291702</v>
      </c>
      <c r="I20" s="20" t="n">
        <f aca="false">G20*H20</f>
        <v>2.01486736952096</v>
      </c>
    </row>
    <row r="21" customFormat="false" ht="15" hidden="false" customHeight="false" outlineLevel="0" collapsed="false">
      <c r="A21" s="5" t="s">
        <v>80</v>
      </c>
      <c r="B21" s="25" t="n">
        <f aca="false">B5*B6/B18</f>
        <v>0.0725193595749062</v>
      </c>
      <c r="C21" s="24" t="s">
        <v>81</v>
      </c>
      <c r="E21" s="18" t="n">
        <f aca="false">E20+1</f>
        <v>16</v>
      </c>
      <c r="F21" s="19" t="n">
        <f aca="false">E21/$B$7</f>
        <v>8</v>
      </c>
      <c r="G21" s="20" t="n">
        <f aca="false">IF(E21&lt;=$B$15,$B$14+IF(E21=$B$15,$B$5,0),0)</f>
        <v>3.5</v>
      </c>
      <c r="H21" s="21" t="n">
        <f aca="false">1/(1+$B$16)^E21</f>
        <v>0.554868810883568</v>
      </c>
      <c r="I21" s="20" t="n">
        <f aca="false">G21*H21</f>
        <v>1.94204083809249</v>
      </c>
    </row>
    <row r="22" customFormat="false" ht="15" hidden="false" customHeight="false" outlineLevel="0" collapsed="false">
      <c r="A22" s="5" t="s">
        <v>82</v>
      </c>
      <c r="B22" s="25" t="n">
        <f aca="false">B7*RATE(B15,B14,-B18,B5)</f>
        <v>0.075</v>
      </c>
      <c r="C22" s="24" t="s">
        <v>83</v>
      </c>
      <c r="E22" s="18" t="n">
        <f aca="false">E21+1</f>
        <v>17</v>
      </c>
      <c r="F22" s="19" t="n">
        <f aca="false">E22/$B$7</f>
        <v>8.5</v>
      </c>
      <c r="G22" s="20" t="n">
        <f aca="false">IF(E22&lt;=$B$15,$B$14+IF(E22=$B$15,$B$5,0),0)</f>
        <v>3.5</v>
      </c>
      <c r="H22" s="21" t="n">
        <f aca="false">1/(1+$B$16)^E22</f>
        <v>0.534813311695005</v>
      </c>
      <c r="I22" s="20" t="n">
        <f aca="false">G22*H22</f>
        <v>1.87184659093252</v>
      </c>
    </row>
    <row r="23" customFormat="false" ht="15" hidden="false" customHeight="false" outlineLevel="0" collapsed="false">
      <c r="E23" s="18" t="n">
        <f aca="false">E22+1</f>
        <v>18</v>
      </c>
      <c r="F23" s="19" t="n">
        <f aca="false">E23/$B$7</f>
        <v>9</v>
      </c>
      <c r="G23" s="20" t="n">
        <f aca="false">IF(E23&lt;=$B$15,$B$14+IF(E23=$B$15,$B$5,0),0)</f>
        <v>3.5</v>
      </c>
      <c r="H23" s="21" t="n">
        <f aca="false">1/(1+$B$16)^E23</f>
        <v>0.515482710067475</v>
      </c>
      <c r="I23" s="20" t="n">
        <f aca="false">G23*H23</f>
        <v>1.80418948523616</v>
      </c>
    </row>
    <row r="24" customFormat="false" ht="15" hidden="false" customHeight="false" outlineLevel="0" collapsed="false">
      <c r="A24" s="11" t="s">
        <v>84</v>
      </c>
      <c r="E24" s="18" t="n">
        <f aca="false">E23+1</f>
        <v>19</v>
      </c>
      <c r="F24" s="19" t="n">
        <f aca="false">E24/$B$7</f>
        <v>9.5</v>
      </c>
      <c r="G24" s="20" t="n">
        <f aca="false">IF(E24&lt;=$B$15,$B$14+IF(E24=$B$15,$B$5,0),0)</f>
        <v>3.5</v>
      </c>
      <c r="H24" s="21" t="n">
        <f aca="false">1/(1+$B$16)^E24</f>
        <v>0.496850804884313</v>
      </c>
      <c r="I24" s="20" t="n">
        <f aca="false">G24*H24</f>
        <v>1.7389778170951</v>
      </c>
    </row>
    <row r="25" customFormat="false" ht="15" hidden="false" customHeight="false" outlineLevel="0" collapsed="false">
      <c r="E25" s="18" t="n">
        <f aca="false">E24+1</f>
        <v>20</v>
      </c>
      <c r="F25" s="19" t="n">
        <f aca="false">E25/$B$7</f>
        <v>10</v>
      </c>
      <c r="G25" s="20" t="n">
        <f aca="false">IF(E25&lt;=$B$15,$B$14+IF(E25=$B$15,$B$5,0),0)</f>
        <v>103.5</v>
      </c>
      <c r="H25" s="21" t="n">
        <f aca="false">1/(1+$B$16)^E25</f>
        <v>0.478892342057169</v>
      </c>
      <c r="I25" s="20" t="n">
        <f aca="false">G25*H25</f>
        <v>49.565357402917</v>
      </c>
    </row>
    <row r="26" customFormat="false" ht="15" hidden="false" customHeight="false" outlineLevel="0" collapsed="false">
      <c r="E26" s="18" t="n">
        <f aca="false">E25+1</f>
        <v>21</v>
      </c>
      <c r="F26" s="19" t="n">
        <f aca="false">E26/$B$7</f>
        <v>10.5</v>
      </c>
      <c r="G26" s="20" t="n">
        <f aca="false">IF(E26&lt;=$B$15,$B$14+IF(E26=$B$15,$B$5,0),0)</f>
        <v>0</v>
      </c>
      <c r="H26" s="21" t="n">
        <f aca="false">1/(1+$B$16)^E26</f>
        <v>0.461582980296067</v>
      </c>
      <c r="I26" s="20" t="n">
        <f aca="false">G26*H26</f>
        <v>0</v>
      </c>
      <c r="K26" s="3" t="s">
        <v>85</v>
      </c>
    </row>
    <row r="27" customFormat="false" ht="30" hidden="false" customHeight="true" outlineLevel="0" collapsed="false">
      <c r="E27" s="18" t="n">
        <f aca="false">E26+1</f>
        <v>22</v>
      </c>
      <c r="F27" s="19" t="n">
        <f aca="false">E27/$B$7</f>
        <v>11</v>
      </c>
      <c r="G27" s="20" t="n">
        <f aca="false">IF(E27&lt;=$B$15,$B$14+IF(E27=$B$15,$B$5,0),0)</f>
        <v>0</v>
      </c>
      <c r="H27" s="21" t="n">
        <f aca="false">1/(1+$B$16)^E27</f>
        <v>0.444899258116691</v>
      </c>
      <c r="I27" s="20" t="n">
        <f aca="false">G27*H27</f>
        <v>0</v>
      </c>
      <c r="K27" s="16" t="s">
        <v>86</v>
      </c>
      <c r="L27" s="16" t="s">
        <v>87</v>
      </c>
      <c r="M27" s="16" t="s">
        <v>88</v>
      </c>
      <c r="N27" s="16" t="s">
        <v>89</v>
      </c>
    </row>
    <row r="28" customFormat="false" ht="15" hidden="false" customHeight="false" outlineLevel="0" collapsed="false">
      <c r="E28" s="18" t="n">
        <f aca="false">E27+1</f>
        <v>23</v>
      </c>
      <c r="F28" s="19" t="n">
        <f aca="false">E28/$B$7</f>
        <v>11.5</v>
      </c>
      <c r="G28" s="20" t="n">
        <f aca="false">IF(E28&lt;=$B$15,$B$14+IF(E28=$B$15,$B$5,0),0)</f>
        <v>0</v>
      </c>
      <c r="H28" s="21" t="n">
        <f aca="false">1/(1+$B$16)^E28</f>
        <v>0.428818562040184</v>
      </c>
      <c r="I28" s="20" t="n">
        <f aca="false">G28*H28</f>
        <v>0</v>
      </c>
      <c r="K28" s="28" t="n">
        <v>0.02</v>
      </c>
      <c r="L28" s="29" t="n">
        <f aca="false">-PV(K28/2,20,0*100/2,100)</f>
        <v>81.9544470337295</v>
      </c>
      <c r="M28" s="29" t="n">
        <f aca="false">-PV(K28/2,20,0.07*100/2,100)</f>
        <v>145.113882415676</v>
      </c>
      <c r="N28" s="29" t="n">
        <f aca="false">-PV(K28/2,20,0.12*100/2,100)</f>
        <v>190.227764831352</v>
      </c>
    </row>
    <row r="29" customFormat="false" ht="15" hidden="false" customHeight="false" outlineLevel="0" collapsed="false">
      <c r="E29" s="18" t="n">
        <f aca="false">E28+1</f>
        <v>24</v>
      </c>
      <c r="F29" s="19" t="n">
        <f aca="false">E29/$B$7</f>
        <v>12</v>
      </c>
      <c r="G29" s="20" t="n">
        <f aca="false">IF(E29&lt;=$B$15,$B$14+IF(E29=$B$15,$B$5,0),0)</f>
        <v>0</v>
      </c>
      <c r="H29" s="21" t="n">
        <f aca="false">1/(1+$B$16)^E29</f>
        <v>0.413319095942346</v>
      </c>
      <c r="I29" s="20" t="n">
        <f aca="false">G29*H29</f>
        <v>0</v>
      </c>
      <c r="K29" s="28" t="n">
        <v>0.025</v>
      </c>
      <c r="L29" s="29" t="n">
        <f aca="false">-PV(K29/2,20,0*100/2,100)</f>
        <v>78.0008548322181</v>
      </c>
      <c r="M29" s="29" t="n">
        <f aca="false">-PV(K29/2,20,0.07*100/2,100)</f>
        <v>139.598461302007</v>
      </c>
      <c r="N29" s="29" t="n">
        <f aca="false">-PV(K29/2,20,0.12*100/2,100)</f>
        <v>183.596751637571</v>
      </c>
    </row>
    <row r="30" customFormat="false" ht="15" hidden="false" customHeight="false" outlineLevel="0" collapsed="false">
      <c r="E30" s="18" t="n">
        <f aca="false">E29+1</f>
        <v>25</v>
      </c>
      <c r="F30" s="19" t="n">
        <f aca="false">E30/$B$7</f>
        <v>12.5</v>
      </c>
      <c r="G30" s="20" t="n">
        <f aca="false">IF(E30&lt;=$B$15,$B$14+IF(E30=$B$15,$B$5,0),0)</f>
        <v>0</v>
      </c>
      <c r="H30" s="21" t="n">
        <f aca="false">1/(1+$B$16)^E30</f>
        <v>0.398379851510695</v>
      </c>
      <c r="I30" s="20" t="n">
        <f aca="false">G30*H30</f>
        <v>0</v>
      </c>
      <c r="K30" s="28" t="n">
        <v>0.03</v>
      </c>
      <c r="L30" s="29" t="n">
        <f aca="false">-PV(K30/2,20,0*100/2,100)</f>
        <v>74.2470418223772</v>
      </c>
      <c r="M30" s="29" t="n">
        <f aca="false">-PV(K30/2,20,0.07*100/2,100)</f>
        <v>134.337277570164</v>
      </c>
      <c r="N30" s="29" t="n">
        <f aca="false">-PV(K30/2,20,0.12*100/2,100)</f>
        <v>177.258874532868</v>
      </c>
    </row>
    <row r="31" customFormat="false" ht="15" hidden="false" customHeight="false" outlineLevel="0" collapsed="false">
      <c r="E31" s="18" t="n">
        <f aca="false">E30+1</f>
        <v>26</v>
      </c>
      <c r="F31" s="19" t="n">
        <f aca="false">E31/$B$7</f>
        <v>13</v>
      </c>
      <c r="G31" s="20" t="n">
        <f aca="false">IF(E31&lt;=$B$15,$B$14+IF(E31=$B$15,$B$5,0),0)</f>
        <v>0</v>
      </c>
      <c r="H31" s="21" t="n">
        <f aca="false">1/(1+$B$16)^E31</f>
        <v>0.383980579769344</v>
      </c>
      <c r="I31" s="20" t="n">
        <f aca="false">G31*H31</f>
        <v>0</v>
      </c>
      <c r="K31" s="28" t="n">
        <v>0.035</v>
      </c>
      <c r="L31" s="29" t="n">
        <f aca="false">-PV(K31/2,20,0*100/2,100)</f>
        <v>70.682457716687</v>
      </c>
      <c r="M31" s="29" t="n">
        <f aca="false">-PV(K31/2,20,0.07*100/2,100)</f>
        <v>129.317542283313</v>
      </c>
      <c r="N31" s="29" t="n">
        <f aca="false">-PV(K31/2,20,0.12*100/2,100)</f>
        <v>171.199745545189</v>
      </c>
    </row>
    <row r="32" customFormat="false" ht="15" hidden="false" customHeight="false" outlineLevel="0" collapsed="false">
      <c r="E32" s="18" t="n">
        <f aca="false">E31+1</f>
        <v>27</v>
      </c>
      <c r="F32" s="19" t="n">
        <f aca="false">E32/$B$7</f>
        <v>13.5</v>
      </c>
      <c r="G32" s="20" t="n">
        <f aca="false">IF(E32&lt;=$B$15,$B$14+IF(E32=$B$15,$B$5,0),0)</f>
        <v>0</v>
      </c>
      <c r="H32" s="21" t="n">
        <f aca="false">1/(1+$B$16)^E32</f>
        <v>0.370101763633103</v>
      </c>
      <c r="I32" s="20" t="n">
        <f aca="false">G32*H32</f>
        <v>0</v>
      </c>
      <c r="K32" s="28" t="n">
        <v>0.04</v>
      </c>
      <c r="L32" s="29" t="n">
        <f aca="false">-PV(K32/2,20,0*100/2,100)</f>
        <v>67.2971333108058</v>
      </c>
      <c r="M32" s="29" t="n">
        <f aca="false">-PV(K32/2,20,0.07*100/2,100)</f>
        <v>124.527150016896</v>
      </c>
      <c r="N32" s="29" t="n">
        <f aca="false">-PV(K32/2,20,0.12*100/2,100)</f>
        <v>165.405733378389</v>
      </c>
    </row>
    <row r="33" customFormat="false" ht="15" hidden="false" customHeight="false" outlineLevel="0" collapsed="false">
      <c r="E33" s="18" t="n">
        <f aca="false">E32+1</f>
        <v>28</v>
      </c>
      <c r="F33" s="19" t="n">
        <f aca="false">E33/$B$7</f>
        <v>14</v>
      </c>
      <c r="G33" s="20" t="n">
        <f aca="false">IF(E33&lt;=$B$15,$B$14+IF(E33=$B$15,$B$5,0),0)</f>
        <v>0</v>
      </c>
      <c r="H33" s="21" t="n">
        <f aca="false">1/(1+$B$16)^E33</f>
        <v>0.356724591453593</v>
      </c>
      <c r="I33" s="20" t="n">
        <f aca="false">G33*H33</f>
        <v>0</v>
      </c>
      <c r="K33" s="28" t="n">
        <v>0.045</v>
      </c>
      <c r="L33" s="29" t="n">
        <f aca="false">-PV(K33/2,20,0*100/2,100)</f>
        <v>64.0816471675542</v>
      </c>
      <c r="M33" s="29" t="n">
        <f aca="false">-PV(K33/2,20,0.07*100/2,100)</f>
        <v>119.95464046247</v>
      </c>
      <c r="N33" s="29" t="n">
        <f aca="false">-PV(K33/2,20,0.12*100/2,100)</f>
        <v>159.86392138741</v>
      </c>
    </row>
    <row r="34" customFormat="false" ht="15" hidden="false" customHeight="false" outlineLevel="0" collapsed="false">
      <c r="E34" s="18" t="n">
        <f aca="false">E33+1</f>
        <v>29</v>
      </c>
      <c r="F34" s="19" t="n">
        <f aca="false">E34/$B$7</f>
        <v>14.5</v>
      </c>
      <c r="G34" s="20" t="n">
        <f aca="false">IF(E34&lt;=$B$15,$B$14+IF(E34=$B$15,$B$5,0),0)</f>
        <v>0</v>
      </c>
      <c r="H34" s="21" t="n">
        <f aca="false">1/(1+$B$16)^E34</f>
        <v>0.343830931521536</v>
      </c>
      <c r="I34" s="20" t="n">
        <f aca="false">G34*H34</f>
        <v>0</v>
      </c>
      <c r="K34" s="28" t="n">
        <v>0.05</v>
      </c>
      <c r="L34" s="29" t="n">
        <f aca="false">-PV(K34/2,20,0*100/2,100)</f>
        <v>61.0270942858831</v>
      </c>
      <c r="M34" s="29" t="n">
        <f aca="false">-PV(K34/2,20,0.07*100/2,100)</f>
        <v>115.589162285647</v>
      </c>
      <c r="N34" s="29" t="n">
        <f aca="false">-PV(K34/2,20,0.12*100/2,100)</f>
        <v>154.562067999764</v>
      </c>
    </row>
    <row r="35" customFormat="false" ht="15" hidden="false" customHeight="false" outlineLevel="0" collapsed="false">
      <c r="E35" s="18" t="n">
        <f aca="false">E34+1</f>
        <v>30</v>
      </c>
      <c r="F35" s="19" t="n">
        <f aca="false">E35/$B$7</f>
        <v>15</v>
      </c>
      <c r="G35" s="20" t="n">
        <f aca="false">IF(E35&lt;=$B$15,$B$14+IF(E35=$B$15,$B$5,0),0)</f>
        <v>0</v>
      </c>
      <c r="H35" s="21" t="n">
        <f aca="false">1/(1+$B$16)^E35</f>
        <v>0.331403307490637</v>
      </c>
      <c r="I35" s="20" t="n">
        <f aca="false">G35*H35</f>
        <v>0</v>
      </c>
      <c r="K35" s="28" t="n">
        <v>0.055</v>
      </c>
      <c r="L35" s="29" t="n">
        <f aca="false">-PV(K35/2,20,0*100/2,100)</f>
        <v>58.125056632117</v>
      </c>
      <c r="M35" s="29" t="n">
        <f aca="false">-PV(K35/2,20,0.07*100/2,100)</f>
        <v>111.420439100332</v>
      </c>
      <c r="N35" s="29" t="n">
        <f aca="false">-PV(K35/2,20,0.12*100/2,100)</f>
        <v>149.488569434771</v>
      </c>
    </row>
    <row r="36" customFormat="false" ht="15" hidden="false" customHeight="false" outlineLevel="0" collapsed="false">
      <c r="E36" s="18" t="n">
        <f aca="false">E35+1</f>
        <v>31</v>
      </c>
      <c r="F36" s="19" t="n">
        <f aca="false">E36/$B$7</f>
        <v>15.5</v>
      </c>
      <c r="G36" s="20" t="n">
        <f aca="false">IF(E36&lt;=$B$15,$B$14+IF(E36=$B$15,$B$5,0),0)</f>
        <v>0</v>
      </c>
      <c r="H36" s="21" t="n">
        <f aca="false">1/(1+$B$16)^E36</f>
        <v>0.31942487468977</v>
      </c>
      <c r="I36" s="20" t="n">
        <f aca="false">G36*H36</f>
        <v>0</v>
      </c>
      <c r="K36" s="28" t="n">
        <v>0.06</v>
      </c>
      <c r="L36" s="29" t="n">
        <f aca="false">-PV(K36/2,20,0*100/2,100)</f>
        <v>55.3675754186335</v>
      </c>
      <c r="M36" s="29" t="n">
        <f aca="false">-PV(K36/2,20,0.07*100/2,100)</f>
        <v>107.438737430228</v>
      </c>
      <c r="N36" s="29" t="n">
        <f aca="false">-PV(K36/2,20,0.12*100/2,100)</f>
        <v>144.632424581367</v>
      </c>
    </row>
    <row r="37" customFormat="false" ht="15" hidden="false" customHeight="false" outlineLevel="0" collapsed="false">
      <c r="E37" s="18" t="n">
        <f aca="false">E36+1</f>
        <v>32</v>
      </c>
      <c r="F37" s="19" t="n">
        <f aca="false">E37/$B$7</f>
        <v>16</v>
      </c>
      <c r="G37" s="20" t="n">
        <f aca="false">IF(E37&lt;=$B$15,$B$14+IF(E37=$B$15,$B$5,0),0)</f>
        <v>0</v>
      </c>
      <c r="H37" s="21" t="n">
        <f aca="false">1/(1+$B$16)^E37</f>
        <v>0.307879397291345</v>
      </c>
      <c r="I37" s="20" t="n">
        <f aca="false">G37*H37</f>
        <v>0</v>
      </c>
      <c r="K37" s="28" t="n">
        <v>0.065</v>
      </c>
      <c r="L37" s="29" t="n">
        <f aca="false">-PV(K37/2,20,0*100/2,100)</f>
        <v>52.7471250224638</v>
      </c>
      <c r="M37" s="29" t="n">
        <f aca="false">-PV(K37/2,20,0.07*100/2,100)</f>
        <v>103.634836536734</v>
      </c>
      <c r="N37" s="29" t="n">
        <f aca="false">-PV(K37/2,20,0.12*100/2,100)</f>
        <v>139.983201904069</v>
      </c>
    </row>
    <row r="38" customFormat="false" ht="15" hidden="false" customHeight="false" outlineLevel="0" collapsed="false">
      <c r="E38" s="18" t="n">
        <f aca="false">E37+1</f>
        <v>33</v>
      </c>
      <c r="F38" s="19" t="n">
        <f aca="false">E38/$B$7</f>
        <v>16.5</v>
      </c>
      <c r="G38" s="20" t="n">
        <f aca="false">IF(E38&lt;=$B$15,$B$14+IF(E38=$B$15,$B$5,0),0)</f>
        <v>0</v>
      </c>
      <c r="H38" s="21" t="n">
        <f aca="false">1/(1+$B$16)^E38</f>
        <v>0.296751226304911</v>
      </c>
      <c r="I38" s="20" t="n">
        <f aca="false">G38*H38</f>
        <v>0</v>
      </c>
      <c r="K38" s="28" t="n">
        <v>0.07</v>
      </c>
      <c r="L38" s="29" t="n">
        <f aca="false">-PV(K38/2,20,0*100/2,100)</f>
        <v>50.2565884431671</v>
      </c>
      <c r="M38" s="29" t="n">
        <f aca="false">-PV(K38/2,20,0.07*100/2,100)</f>
        <v>100</v>
      </c>
      <c r="N38" s="29" t="n">
        <f aca="false">-PV(K38/2,20,0.12*100/2,100)</f>
        <v>135.531008254881</v>
      </c>
    </row>
    <row r="39" customFormat="false" ht="15" hidden="false" customHeight="false" outlineLevel="0" collapsed="false">
      <c r="E39" s="18" t="n">
        <f aca="false">E38+1</f>
        <v>34</v>
      </c>
      <c r="F39" s="19" t="n">
        <f aca="false">E39/$B$7</f>
        <v>17</v>
      </c>
      <c r="G39" s="20" t="n">
        <f aca="false">IF(E39&lt;=$B$15,$B$14+IF(E39=$B$15,$B$5,0),0)</f>
        <v>0</v>
      </c>
      <c r="H39" s="21" t="n">
        <f aca="false">1/(1+$B$16)^E39</f>
        <v>0.286025278366179</v>
      </c>
      <c r="I39" s="20" t="n">
        <f aca="false">G39*H39</f>
        <v>0</v>
      </c>
      <c r="K39" s="28" t="n">
        <v>0.075</v>
      </c>
      <c r="L39" s="29" t="n">
        <f aca="false">-PV(K39/2,20,0*100/2,100)</f>
        <v>47.8892342057169</v>
      </c>
      <c r="M39" s="29" t="n">
        <f aca="false">-PV(K39/2,20,0.07*100/2,100)</f>
        <v>96.5259489470478</v>
      </c>
      <c r="N39" s="29" t="n">
        <f aca="false">-PV(K39/2,20,0.12*100/2,100)</f>
        <v>131.26645947657</v>
      </c>
    </row>
    <row r="40" customFormat="false" ht="15" hidden="false" customHeight="false" outlineLevel="0" collapsed="false">
      <c r="E40" s="18" t="n">
        <f aca="false">E39+1</f>
        <v>35</v>
      </c>
      <c r="F40" s="19" t="n">
        <f aca="false">E40/$B$7</f>
        <v>17.5</v>
      </c>
      <c r="G40" s="20" t="n">
        <f aca="false">IF(E40&lt;=$B$15,$B$14+IF(E40=$B$15,$B$5,0),0)</f>
        <v>0</v>
      </c>
      <c r="H40" s="21" t="n">
        <f aca="false">1/(1+$B$16)^E40</f>
        <v>0.275687015292702</v>
      </c>
      <c r="I40" s="20" t="n">
        <f aca="false">G40*H40</f>
        <v>0</v>
      </c>
      <c r="K40" s="28" t="n">
        <v>0.08</v>
      </c>
      <c r="L40" s="29" t="n">
        <f aca="false">-PV(K40/2,20,0*100/2,100)</f>
        <v>45.6386946201292</v>
      </c>
      <c r="M40" s="29" t="n">
        <f aca="false">-PV(K40/2,20,0.07*100/2,100)</f>
        <v>93.2048368275162</v>
      </c>
      <c r="N40" s="29" t="n">
        <f aca="false">-PV(K40/2,20,0.12*100/2,100)</f>
        <v>127.180652689935</v>
      </c>
    </row>
    <row r="41" customFormat="false" ht="15" hidden="false" customHeight="false" outlineLevel="0" collapsed="false">
      <c r="E41" s="18" t="n">
        <f aca="false">E40+1</f>
        <v>36</v>
      </c>
      <c r="F41" s="19" t="n">
        <f aca="false">E41/$B$7</f>
        <v>18</v>
      </c>
      <c r="G41" s="20" t="n">
        <f aca="false">IF(E41&lt;=$B$15,$B$14+IF(E41=$B$15,$B$5,0),0)</f>
        <v>0</v>
      </c>
      <c r="H41" s="21" t="n">
        <f aca="false">1/(1+$B$16)^E41</f>
        <v>0.265722424378508</v>
      </c>
      <c r="I41" s="20" t="n">
        <f aca="false">G41*H41</f>
        <v>0</v>
      </c>
      <c r="K41" s="28" t="n">
        <v>0.085</v>
      </c>
      <c r="L41" s="29" t="n">
        <f aca="false">-PV(K41/2,20,0*100/2,100)</f>
        <v>43.4989453151382</v>
      </c>
      <c r="M41" s="29" t="n">
        <f aca="false">-PV(K41/2,20,0.07*100/2,100)</f>
        <v>90.0292256438479</v>
      </c>
      <c r="N41" s="29" t="n">
        <f aca="false">-PV(K41/2,20,0.12*100/2,100)</f>
        <v>123.265140164355</v>
      </c>
    </row>
    <row r="42" customFormat="false" ht="15" hidden="false" customHeight="false" outlineLevel="0" collapsed="false">
      <c r="E42" s="18" t="n">
        <f aca="false">E41+1</f>
        <v>37</v>
      </c>
      <c r="F42" s="19" t="n">
        <f aca="false">E42/$B$7</f>
        <v>18.5</v>
      </c>
      <c r="G42" s="20" t="n">
        <f aca="false">IF(E42&lt;=$B$15,$B$14+IF(E42=$B$15,$B$5,0),0)</f>
        <v>0</v>
      </c>
      <c r="H42" s="21" t="n">
        <f aca="false">1/(1+$B$16)^E42</f>
        <v>0.256117999400972</v>
      </c>
      <c r="I42" s="20" t="n">
        <f aca="false">G42*H42</f>
        <v>0</v>
      </c>
      <c r="K42" s="28" t="n">
        <v>0.09</v>
      </c>
      <c r="L42" s="29" t="n">
        <f aca="false">-PV(K42/2,20,0*100/2,100)</f>
        <v>41.4642859684584</v>
      </c>
      <c r="M42" s="29" t="n">
        <f aca="false">-PV(K42/2,20,0.07*100/2,100)</f>
        <v>86.9920635485463</v>
      </c>
      <c r="N42" s="29" t="n">
        <f aca="false">-PV(K42/2,20,0.12*100/2,100)</f>
        <v>119.511904677181</v>
      </c>
    </row>
    <row r="43" customFormat="false" ht="15" hidden="false" customHeight="false" outlineLevel="0" collapsed="false">
      <c r="E43" s="18" t="n">
        <f aca="false">E42+1</f>
        <v>38</v>
      </c>
      <c r="F43" s="19" t="n">
        <f aca="false">E43/$B$7</f>
        <v>19</v>
      </c>
      <c r="G43" s="20" t="n">
        <f aca="false">IF(E43&lt;=$B$15,$B$14+IF(E43=$B$15,$B$5,0),0)</f>
        <v>0</v>
      </c>
      <c r="H43" s="21" t="n">
        <f aca="false">1/(1+$B$16)^E43</f>
        <v>0.24686072231419</v>
      </c>
      <c r="I43" s="20" t="n">
        <f aca="false">G43*H43</f>
        <v>0</v>
      </c>
      <c r="K43" s="28" t="n">
        <v>0.095</v>
      </c>
      <c r="L43" s="29" t="n">
        <f aca="false">-PV(K43/2,20,0*100/2,100)</f>
        <v>39.5293221610406</v>
      </c>
      <c r="M43" s="29" t="n">
        <f aca="false">-PV(K43/2,20,0.07*100/2,100)</f>
        <v>84.0866637265896</v>
      </c>
      <c r="N43" s="29" t="n">
        <f aca="false">-PV(K43/2,20,0.12*100/2,100)</f>
        <v>115.91333627341</v>
      </c>
    </row>
    <row r="44" customFormat="false" ht="15" hidden="false" customHeight="false" outlineLevel="0" collapsed="false">
      <c r="E44" s="18" t="n">
        <f aca="false">E43+1</f>
        <v>39</v>
      </c>
      <c r="F44" s="19" t="n">
        <f aca="false">E44/$B$7</f>
        <v>19.5</v>
      </c>
      <c r="G44" s="20" t="n">
        <f aca="false">IF(E44&lt;=$B$15,$B$14+IF(E44=$B$15,$B$5,0),0)</f>
        <v>0</v>
      </c>
      <c r="H44" s="21" t="n">
        <f aca="false">1/(1+$B$16)^E44</f>
        <v>0.237938045604038</v>
      </c>
      <c r="I44" s="20" t="n">
        <f aca="false">G44*H44</f>
        <v>0</v>
      </c>
      <c r="K44" s="28" t="n">
        <v>0.1</v>
      </c>
      <c r="L44" s="29" t="n">
        <f aca="false">-PV(K44/2,20,0*100/2,100)</f>
        <v>37.6889482873</v>
      </c>
      <c r="M44" s="29" t="n">
        <f aca="false">-PV(K44/2,20,0.07*100/2,100)</f>
        <v>81.30668448619</v>
      </c>
      <c r="N44" s="29" t="n">
        <f aca="false">-PV(K44/2,20,0.12*100/2,100)</f>
        <v>112.46221034254</v>
      </c>
    </row>
    <row r="45" customFormat="false" ht="15" hidden="false" customHeight="false" outlineLevel="0" collapsed="false">
      <c r="E45" s="18" t="n">
        <f aca="false">E44+1</f>
        <v>40</v>
      </c>
      <c r="F45" s="19" t="n">
        <f aca="false">E45/$B$7</f>
        <v>20</v>
      </c>
      <c r="G45" s="20" t="n">
        <f aca="false">IF(E45&lt;=$B$15,$B$14+IF(E45=$B$15,$B$5,0),0)</f>
        <v>0</v>
      </c>
      <c r="H45" s="21" t="n">
        <f aca="false">1/(1+$B$16)^E45</f>
        <v>0.229337875281001</v>
      </c>
      <c r="I45" s="20" t="n">
        <f aca="false">G45*H45</f>
        <v>0</v>
      </c>
      <c r="K45" s="28" t="n">
        <v>0.105</v>
      </c>
      <c r="L45" s="29" t="n">
        <f aca="false">-PV(K45/2,20,0*100/2,100)</f>
        <v>35.9383314575531</v>
      </c>
      <c r="M45" s="29" t="n">
        <f aca="false">-PV(K45/2,20,0.07*100/2,100)</f>
        <v>78.646110485851</v>
      </c>
      <c r="N45" s="29" t="n">
        <f aca="false">-PV(K45/2,20,0.12*100/2,100)</f>
        <v>109.151666934635</v>
      </c>
    </row>
    <row r="46" customFormat="false" ht="15" hidden="false" customHeight="false" outlineLevel="0" collapsed="false">
      <c r="E46" s="18" t="n">
        <f aca="false">E45+1</f>
        <v>41</v>
      </c>
      <c r="F46" s="19" t="n">
        <f aca="false">E46/$B$7</f>
        <v>20.5</v>
      </c>
      <c r="G46" s="20" t="n">
        <f aca="false">IF(E46&lt;=$B$15,$B$14+IF(E46=$B$15,$B$5,0),0)</f>
        <v>0</v>
      </c>
      <c r="H46" s="21" t="n">
        <f aca="false">1/(1+$B$16)^E46</f>
        <v>0.221048554487712</v>
      </c>
      <c r="I46" s="20" t="n">
        <f aca="false">G46*H46</f>
        <v>0</v>
      </c>
      <c r="K46" s="28" t="n">
        <v>0.11</v>
      </c>
      <c r="L46" s="29" t="n">
        <f aca="false">-PV(K46/2,20,0*100/2,100)</f>
        <v>34.2728963328944</v>
      </c>
      <c r="M46" s="29" t="n">
        <f aca="false">-PV(K46/2,20,0.07*100/2,100)</f>
        <v>76.0992350301434</v>
      </c>
      <c r="N46" s="29" t="n">
        <f aca="false">-PV(K46/2,20,0.12*100/2,100)</f>
        <v>105.975191242464</v>
      </c>
    </row>
    <row r="47" customFormat="false" ht="15" hidden="false" customHeight="false" outlineLevel="0" collapsed="false">
      <c r="E47" s="18" t="n">
        <f aca="false">E46+1</f>
        <v>42</v>
      </c>
      <c r="F47" s="19" t="n">
        <f aca="false">E47/$B$7</f>
        <v>21</v>
      </c>
      <c r="G47" s="20" t="n">
        <f aca="false">IF(E47&lt;=$B$15,$B$14+IF(E47=$B$15,$B$5,0),0)</f>
        <v>0</v>
      </c>
      <c r="H47" s="21" t="n">
        <f aca="false">1/(1+$B$16)^E47</f>
        <v>0.213058847698999</v>
      </c>
      <c r="I47" s="20" t="n">
        <f aca="false">G47*H47</f>
        <v>0</v>
      </c>
      <c r="K47" s="28" t="n">
        <v>0.115</v>
      </c>
      <c r="L47" s="29" t="n">
        <f aca="false">-PV(K47/2,20,0*100/2,100)</f>
        <v>32.6883108364719</v>
      </c>
      <c r="M47" s="29" t="n">
        <f aca="false">-PV(K47/2,20,0.07*100/2,100)</f>
        <v>73.6606433707933</v>
      </c>
      <c r="N47" s="29" t="n">
        <f aca="false">-PV(K47/2,20,0.12*100/2,100)</f>
        <v>102.926595181023</v>
      </c>
    </row>
    <row r="48" customFormat="false" ht="15" hidden="false" customHeight="false" outlineLevel="0" collapsed="false">
      <c r="E48" s="18" t="n">
        <f aca="false">E47+1</f>
        <v>43</v>
      </c>
      <c r="F48" s="19" t="n">
        <f aca="false">E48/$B$7</f>
        <v>21.5</v>
      </c>
      <c r="G48" s="20" t="n">
        <f aca="false">IF(E48&lt;=$B$15,$B$14+IF(E48=$B$15,$B$5,0),0)</f>
        <v>0</v>
      </c>
      <c r="H48" s="21" t="n">
        <f aca="false">1/(1+$B$16)^E48</f>
        <v>0.205357925493011</v>
      </c>
      <c r="I48" s="20" t="n">
        <f aca="false">G48*H48</f>
        <v>0</v>
      </c>
      <c r="K48" s="28" t="n">
        <v>0.12</v>
      </c>
      <c r="L48" s="29" t="n">
        <f aca="false">-PV(K48/2,20,0*100/2,100)</f>
        <v>31.1804726886084</v>
      </c>
      <c r="M48" s="29" t="n">
        <f aca="false">-PV(K48/2,20,0.07*100/2,100)</f>
        <v>71.3251969535869</v>
      </c>
      <c r="N48" s="29" t="n">
        <f aca="false">-PV(K48/2,20,0.12*100/2,100)</f>
        <v>100</v>
      </c>
    </row>
    <row r="49" customFormat="false" ht="15" hidden="false" customHeight="false" outlineLevel="0" collapsed="false">
      <c r="E49" s="18" t="n">
        <f aca="false">E48+1</f>
        <v>44</v>
      </c>
      <c r="F49" s="19" t="n">
        <f aca="false">E49/$B$7</f>
        <v>22</v>
      </c>
      <c r="G49" s="20" t="n">
        <f aca="false">IF(E49&lt;=$B$15,$B$14+IF(E49=$B$15,$B$5,0),0)</f>
        <v>0</v>
      </c>
      <c r="H49" s="21" t="n">
        <f aca="false">1/(1+$B$16)^E49</f>
        <v>0.197935349872782</v>
      </c>
      <c r="I49" s="20" t="n">
        <f aca="false">G49*H49</f>
        <v>0</v>
      </c>
      <c r="K49" s="28" t="n">
        <v>0.125</v>
      </c>
      <c r="L49" s="29" t="n">
        <f aca="false">-PV(K49/2,20,0*100/2,100)</f>
        <v>29.7454967164831</v>
      </c>
      <c r="M49" s="29" t="n">
        <f aca="false">-PV(K49/2,20,0.07*100/2,100)</f>
        <v>69.0880185552526</v>
      </c>
      <c r="N49" s="29" t="n">
        <f aca="false">-PV(K49/2,20,0.12*100/2,100)</f>
        <v>97.1898198686593</v>
      </c>
    </row>
    <row r="50" customFormat="false" ht="15" hidden="false" customHeight="false" outlineLevel="0" collapsed="false">
      <c r="E50" s="18" t="n">
        <f aca="false">E49+1</f>
        <v>45</v>
      </c>
      <c r="F50" s="19" t="n">
        <f aca="false">E50/$B$7</f>
        <v>22.5</v>
      </c>
      <c r="G50" s="20" t="n">
        <f aca="false">IF(E50&lt;=$B$15,$B$14+IF(E50=$B$15,$B$5,0),0)</f>
        <v>0</v>
      </c>
      <c r="H50" s="21" t="n">
        <f aca="false">1/(1+$B$16)^E50</f>
        <v>0.190781060118344</v>
      </c>
      <c r="I50" s="20" t="n">
        <f aca="false">G50*H50</f>
        <v>0</v>
      </c>
      <c r="K50" s="28" t="n">
        <v>0.13</v>
      </c>
      <c r="L50" s="29" t="n">
        <f aca="false">-PV(K50/2,20,0*100/2,100)</f>
        <v>28.379702892142</v>
      </c>
      <c r="M50" s="29" t="n">
        <f aca="false">-PV(K50/2,20,0.07*100/2,100)</f>
        <v>66.9444782579117</v>
      </c>
      <c r="N50" s="29" t="n">
        <f aca="false">-PV(K50/2,20,0.12*100/2,100)</f>
        <v>94.4907463763186</v>
      </c>
    </row>
    <row r="51" customFormat="false" ht="15" hidden="false" customHeight="false" outlineLevel="0" collapsed="false">
      <c r="E51" s="18" t="n">
        <f aca="false">E50+1</f>
        <v>46</v>
      </c>
      <c r="F51" s="19" t="n">
        <f aca="false">E51/$B$7</f>
        <v>23</v>
      </c>
      <c r="G51" s="20" t="n">
        <f aca="false">IF(E51&lt;=$B$15,$B$14+IF(E51=$B$15,$B$5,0),0)</f>
        <v>0</v>
      </c>
      <c r="H51" s="21" t="n">
        <f aca="false">1/(1+$B$16)^E51</f>
        <v>0.183885359150211</v>
      </c>
      <c r="I51" s="20" t="n">
        <f aca="false">G51*H51</f>
        <v>0</v>
      </c>
      <c r="K51" s="28" t="n">
        <v>0.135</v>
      </c>
      <c r="L51" s="29" t="n">
        <f aca="false">-PV(K51/2,20,0*100/2,100)</f>
        <v>27.0796050554641</v>
      </c>
      <c r="M51" s="29" t="n">
        <f aca="false">-PV(K51/2,20,0.07*100/2,100)</f>
        <v>64.8901802118901</v>
      </c>
      <c r="N51" s="29" t="n">
        <f aca="false">-PV(K51/2,20,0.12*100/2,100)</f>
        <v>91.8977338950516</v>
      </c>
    </row>
    <row r="52" customFormat="false" ht="15" hidden="false" customHeight="false" outlineLevel="0" collapsed="false">
      <c r="E52" s="18" t="n">
        <f aca="false">E51+1</f>
        <v>47</v>
      </c>
      <c r="F52" s="19" t="n">
        <f aca="false">E52/$B$7</f>
        <v>23.5</v>
      </c>
      <c r="G52" s="20" t="n">
        <f aca="false">IF(E52&lt;=$B$15,$B$14+IF(E52=$B$15,$B$5,0),0)</f>
        <v>0</v>
      </c>
      <c r="H52" s="21" t="n">
        <f aca="false">1/(1+$B$16)^E52</f>
        <v>0.177238900385746</v>
      </c>
      <c r="I52" s="20" t="n">
        <f aca="false">G52*H52</f>
        <v>0</v>
      </c>
      <c r="K52" s="28" t="n">
        <v>0.14</v>
      </c>
      <c r="L52" s="29" t="n">
        <f aca="false">-PV(K52/2,20,0*100/2,100)</f>
        <v>25.8419002813868</v>
      </c>
      <c r="M52" s="29" t="n">
        <f aca="false">-PV(K52/2,20,0.07*100/2,100)</f>
        <v>62.9209501406934</v>
      </c>
      <c r="N52" s="29" t="n">
        <f aca="false">-PV(K52/2,20,0.12*100/2,100)</f>
        <v>89.4059857544838</v>
      </c>
    </row>
    <row r="53" customFormat="false" ht="15" hidden="false" customHeight="false" outlineLevel="0" collapsed="false">
      <c r="E53" s="18" t="n">
        <f aca="false">E52+1</f>
        <v>48</v>
      </c>
      <c r="F53" s="19" t="n">
        <f aca="false">E53/$B$7</f>
        <v>24</v>
      </c>
      <c r="G53" s="20" t="n">
        <f aca="false">IF(E53&lt;=$B$15,$B$14+IF(E53=$B$15,$B$5,0),0)</f>
        <v>0</v>
      </c>
      <c r="H53" s="21" t="n">
        <f aca="false">1/(1+$B$16)^E53</f>
        <v>0.170832675070598</v>
      </c>
      <c r="I53" s="20" t="n">
        <f aca="false">G53*H53</f>
        <v>0</v>
      </c>
    </row>
    <row r="54" customFormat="false" ht="15" hidden="false" customHeight="false" outlineLevel="0" collapsed="false">
      <c r="E54" s="18" t="n">
        <f aca="false">E53+1</f>
        <v>49</v>
      </c>
      <c r="F54" s="19" t="n">
        <f aca="false">E54/$B$7</f>
        <v>24.5</v>
      </c>
      <c r="G54" s="20" t="n">
        <f aca="false">IF(E54&lt;=$B$15,$B$14+IF(E54=$B$15,$B$5,0),0)</f>
        <v>0</v>
      </c>
      <c r="H54" s="21" t="n">
        <f aca="false">1/(1+$B$16)^E54</f>
        <v>0.164658000068046</v>
      </c>
      <c r="I54" s="20" t="n">
        <f aca="false">G54*H54</f>
        <v>0</v>
      </c>
    </row>
    <row r="55" customFormat="false" ht="15" hidden="false" customHeight="false" outlineLevel="0" collapsed="false">
      <c r="E55" s="18" t="n">
        <f aca="false">E54+1</f>
        <v>50</v>
      </c>
      <c r="F55" s="19" t="n">
        <f aca="false">E55/$B$7</f>
        <v>25</v>
      </c>
      <c r="G55" s="20" t="n">
        <f aca="false">IF(E55&lt;=$B$15,$B$14+IF(E55=$B$15,$B$5,0),0)</f>
        <v>0</v>
      </c>
      <c r="H55" s="21" t="n">
        <f aca="false">1/(1+$B$16)^E55</f>
        <v>0.158706506089683</v>
      </c>
      <c r="I55" s="20" t="n">
        <f aca="false">G55*H55</f>
        <v>0</v>
      </c>
    </row>
    <row r="56" customFormat="false" ht="15" hidden="false" customHeight="false" outlineLevel="0" collapsed="false">
      <c r="E56" s="18" t="n">
        <f aca="false">E55+1</f>
        <v>51</v>
      </c>
      <c r="F56" s="19" t="n">
        <f aca="false">E56/$B$7</f>
        <v>25.5</v>
      </c>
      <c r="G56" s="20" t="n">
        <f aca="false">IF(E56&lt;=$B$15,$B$14+IF(E56=$B$15,$B$5,0),0)</f>
        <v>0</v>
      </c>
      <c r="H56" s="21" t="n">
        <f aca="false">1/(1+$B$16)^E56</f>
        <v>0.152970126351502</v>
      </c>
      <c r="I56" s="20" t="n">
        <f aca="false">G56*H56</f>
        <v>0</v>
      </c>
    </row>
    <row r="57" customFormat="false" ht="15" hidden="false" customHeight="false" outlineLevel="0" collapsed="false">
      <c r="E57" s="18" t="n">
        <f aca="false">E56+1</f>
        <v>52</v>
      </c>
      <c r="F57" s="19" t="n">
        <f aca="false">E57/$B$7</f>
        <v>26</v>
      </c>
      <c r="G57" s="20" t="n">
        <f aca="false">IF(E57&lt;=$B$15,$B$14+IF(E57=$B$15,$B$5,0),0)</f>
        <v>0</v>
      </c>
      <c r="H57" s="21" t="n">
        <f aca="false">1/(1+$B$16)^E57</f>
        <v>0.147441085640002</v>
      </c>
      <c r="I57" s="20" t="n">
        <f aca="false">G57*H57</f>
        <v>0</v>
      </c>
    </row>
    <row r="58" customFormat="false" ht="15" hidden="false" customHeight="false" outlineLevel="0" collapsed="false">
      <c r="E58" s="18" t="n">
        <f aca="false">E57+1</f>
        <v>53</v>
      </c>
      <c r="F58" s="19" t="n">
        <f aca="false">E58/$B$7</f>
        <v>26.5</v>
      </c>
      <c r="G58" s="20" t="n">
        <f aca="false">IF(E58&lt;=$B$15,$B$14+IF(E58=$B$15,$B$5,0),0)</f>
        <v>0</v>
      </c>
      <c r="H58" s="21" t="n">
        <f aca="false">1/(1+$B$16)^E58</f>
        <v>0.142111889773496</v>
      </c>
      <c r="I58" s="20" t="n">
        <f aca="false">G58*H58</f>
        <v>0</v>
      </c>
    </row>
    <row r="59" customFormat="false" ht="15" hidden="false" customHeight="false" outlineLevel="0" collapsed="false">
      <c r="E59" s="18" t="n">
        <f aca="false">E58+1</f>
        <v>54</v>
      </c>
      <c r="F59" s="19" t="n">
        <f aca="false">E59/$B$7</f>
        <v>27</v>
      </c>
      <c r="G59" s="20" t="n">
        <f aca="false">IF(E59&lt;=$B$15,$B$14+IF(E59=$B$15,$B$5,0),0)</f>
        <v>0</v>
      </c>
      <c r="H59" s="21" t="n">
        <f aca="false">1/(1+$B$16)^E59</f>
        <v>0.136975315444333</v>
      </c>
      <c r="I59" s="20" t="n">
        <f aca="false">G59*H59</f>
        <v>0</v>
      </c>
    </row>
    <row r="60" customFormat="false" ht="15" hidden="false" customHeight="false" outlineLevel="0" collapsed="false">
      <c r="E60" s="18" t="n">
        <f aca="false">E59+1</f>
        <v>55</v>
      </c>
      <c r="F60" s="19" t="n">
        <f aca="false">E60/$B$7</f>
        <v>27.5</v>
      </c>
      <c r="G60" s="20" t="n">
        <f aca="false">IF(E60&lt;=$B$15,$B$14+IF(E60=$B$15,$B$5,0),0)</f>
        <v>0</v>
      </c>
      <c r="H60" s="21" t="n">
        <f aca="false">1/(1+$B$16)^E60</f>
        <v>0.132024400428273</v>
      </c>
      <c r="I60" s="20" t="n">
        <f aca="false">G60*H60</f>
        <v>0</v>
      </c>
    </row>
    <row r="61" customFormat="false" ht="15" hidden="false" customHeight="false" outlineLevel="0" collapsed="false">
      <c r="E61" s="18" t="n">
        <f aca="false">E60+1</f>
        <v>56</v>
      </c>
      <c r="F61" s="19" t="n">
        <f aca="false">E61/$B$7</f>
        <v>28</v>
      </c>
      <c r="G61" s="20" t="n">
        <f aca="false">IF(E61&lt;=$B$15,$B$14+IF(E61=$B$15,$B$5,0),0)</f>
        <v>0</v>
      </c>
      <c r="H61" s="21" t="n">
        <f aca="false">1/(1+$B$16)^E61</f>
        <v>0.127252434147733</v>
      </c>
      <c r="I61" s="20" t="n">
        <f aca="false">G61*H61</f>
        <v>0</v>
      </c>
    </row>
    <row r="62" customFormat="false" ht="15" hidden="false" customHeight="false" outlineLevel="0" collapsed="false">
      <c r="E62" s="18" t="n">
        <f aca="false">E61+1</f>
        <v>57</v>
      </c>
      <c r="F62" s="19" t="n">
        <f aca="false">E62/$B$7</f>
        <v>28.5</v>
      </c>
      <c r="G62" s="20" t="n">
        <f aca="false">IF(E62&lt;=$B$15,$B$14+IF(E62=$B$15,$B$5,0),0)</f>
        <v>0</v>
      </c>
      <c r="H62" s="21" t="n">
        <f aca="false">1/(1+$B$16)^E62</f>
        <v>0.122652948576128</v>
      </c>
      <c r="I62" s="20" t="n">
        <f aca="false">G62*H62</f>
        <v>0</v>
      </c>
    </row>
    <row r="63" customFormat="false" ht="15" hidden="false" customHeight="false" outlineLevel="0" collapsed="false">
      <c r="E63" s="18" t="n">
        <f aca="false">E62+1</f>
        <v>58</v>
      </c>
      <c r="F63" s="19" t="n">
        <f aca="false">E63/$B$7</f>
        <v>29</v>
      </c>
      <c r="G63" s="20" t="n">
        <f aca="false">IF(E63&lt;=$B$15,$B$14+IF(E63=$B$15,$B$5,0),0)</f>
        <v>0</v>
      </c>
      <c r="H63" s="21" t="n">
        <f aca="false">1/(1+$B$16)^E63</f>
        <v>0.118219709470967</v>
      </c>
      <c r="I63" s="20" t="n">
        <f aca="false">G63*H63</f>
        <v>0</v>
      </c>
    </row>
    <row r="64" customFormat="false" ht="15" hidden="false" customHeight="false" outlineLevel="0" collapsed="false">
      <c r="E64" s="18" t="n">
        <f aca="false">E63+1</f>
        <v>59</v>
      </c>
      <c r="F64" s="19" t="n">
        <f aca="false">E64/$B$7</f>
        <v>29.5</v>
      </c>
      <c r="G64" s="20" t="n">
        <f aca="false">IF(E64&lt;=$B$15,$B$14+IF(E64=$B$15,$B$5,0),0)</f>
        <v>0</v>
      </c>
      <c r="H64" s="21" t="n">
        <f aca="false">1/(1+$B$16)^E64</f>
        <v>0.113946707923823</v>
      </c>
      <c r="I64" s="20" t="n">
        <f aca="false">G64*H64</f>
        <v>0</v>
      </c>
    </row>
    <row r="65" customFormat="false" ht="15" hidden="false" customHeight="false" outlineLevel="0" collapsed="false">
      <c r="E65" s="18" t="n">
        <f aca="false">E64+1</f>
        <v>60</v>
      </c>
      <c r="F65" s="19" t="n">
        <f aca="false">E65/$B$7</f>
        <v>30</v>
      </c>
      <c r="G65" s="20" t="n">
        <f aca="false">IF(E65&lt;=$B$15,$B$14+IF(E65=$B$15,$B$5,0),0)</f>
        <v>0</v>
      </c>
      <c r="H65" s="21" t="n">
        <f aca="false">1/(1+$B$16)^E65</f>
        <v>0.109828152215733</v>
      </c>
      <c r="I65" s="20" t="n">
        <f aca="false">G65*H65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972F"/>
    <pageSetUpPr fitToPage="true"/>
  </sheetPr>
  <dimension ref="A1:G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3" min="3" style="0" width="44"/>
    <col collapsed="false" customWidth="true" hidden="false" outlineLevel="0" max="4" min="4" style="0" width="3"/>
    <col collapsed="false" customWidth="true" hidden="false" outlineLevel="0" max="7" min="5" style="0" width="14"/>
  </cols>
  <sheetData>
    <row r="1" customFormat="false" ht="19.7" hidden="false" customHeight="false" outlineLevel="0" collapsed="false">
      <c r="A1" s="12" t="s">
        <v>90</v>
      </c>
    </row>
    <row r="2" customFormat="false" ht="15" hidden="false" customHeight="false" outlineLevel="0" collapsed="false">
      <c r="A2" s="2" t="s">
        <v>91</v>
      </c>
    </row>
    <row r="4" customFormat="false" ht="15" hidden="false" customHeight="false" outlineLevel="0" collapsed="false">
      <c r="A4" s="13" t="s">
        <v>52</v>
      </c>
      <c r="B4" s="14"/>
      <c r="C4" s="14"/>
      <c r="E4" s="3" t="s">
        <v>92</v>
      </c>
    </row>
    <row r="5" customFormat="false" ht="30" hidden="false" customHeight="true" outlineLevel="0" collapsed="false">
      <c r="A5" s="5" t="s">
        <v>9</v>
      </c>
      <c r="B5" s="15" t="n">
        <v>100</v>
      </c>
      <c r="E5" s="16" t="s">
        <v>93</v>
      </c>
      <c r="F5" s="16" t="s">
        <v>94</v>
      </c>
      <c r="G5" s="16" t="s">
        <v>95</v>
      </c>
    </row>
    <row r="6" customFormat="false" ht="15" hidden="false" customHeight="false" outlineLevel="0" collapsed="false">
      <c r="A6" s="5" t="s">
        <v>96</v>
      </c>
      <c r="B6" s="30" t="n">
        <v>5</v>
      </c>
      <c r="E6" s="31" t="n">
        <f aca="false">$B$6-0</f>
        <v>5</v>
      </c>
      <c r="F6" s="20" t="n">
        <f aca="false">$B$5/(1+$B$7/$B$8)^($B$8*E6)</f>
        <v>70.8918813709772</v>
      </c>
      <c r="G6" s="20"/>
    </row>
    <row r="7" customFormat="false" ht="15" hidden="false" customHeight="false" outlineLevel="0" collapsed="false">
      <c r="A7" s="5" t="s">
        <v>97</v>
      </c>
      <c r="B7" s="17" t="n">
        <v>0.07</v>
      </c>
      <c r="E7" s="31" t="n">
        <f aca="false">$B$6-0.5</f>
        <v>4.5</v>
      </c>
      <c r="F7" s="20" t="n">
        <f aca="false">$B$5/(1+$B$7/$B$8)^($B$8*E7)</f>
        <v>73.3730972189614</v>
      </c>
      <c r="G7" s="20" t="n">
        <f aca="false">F7-F6</f>
        <v>2.48121584798419</v>
      </c>
    </row>
    <row r="8" customFormat="false" ht="15" hidden="false" customHeight="false" outlineLevel="0" collapsed="false">
      <c r="A8" s="5" t="s">
        <v>98</v>
      </c>
      <c r="B8" s="22" t="n">
        <v>2</v>
      </c>
      <c r="E8" s="31" t="n">
        <f aca="false">$B$6-1</f>
        <v>4</v>
      </c>
      <c r="F8" s="20" t="n">
        <f aca="false">$B$5/(1+$B$7/$B$8)^($B$8*E8)</f>
        <v>75.9411556216251</v>
      </c>
      <c r="G8" s="20" t="n">
        <f aca="false">F8-F7</f>
        <v>2.56805840266365</v>
      </c>
    </row>
    <row r="9" customFormat="false" ht="15" hidden="false" customHeight="false" outlineLevel="0" collapsed="false">
      <c r="A9" s="5" t="s">
        <v>99</v>
      </c>
      <c r="B9" s="32" t="n">
        <v>72</v>
      </c>
      <c r="E9" s="31" t="n">
        <f aca="false">$B$6-1.5</f>
        <v>3.5</v>
      </c>
      <c r="F9" s="20" t="n">
        <f aca="false">$B$5/(1+$B$7/$B$8)^($B$8*E9)</f>
        <v>78.5990960683819</v>
      </c>
      <c r="G9" s="20" t="n">
        <f aca="false">F9-F8</f>
        <v>2.65794044675687</v>
      </c>
    </row>
    <row r="10" customFormat="false" ht="15" hidden="false" customHeight="false" outlineLevel="0" collapsed="false">
      <c r="E10" s="31" t="n">
        <f aca="false">$B$6-2</f>
        <v>3</v>
      </c>
      <c r="F10" s="20" t="n">
        <f aca="false">$B$5/(1+$B$7/$B$8)^($B$8*E10)</f>
        <v>81.3500644307753</v>
      </c>
      <c r="G10" s="20" t="n">
        <f aca="false">F10-F9</f>
        <v>2.75096836239337</v>
      </c>
    </row>
    <row r="11" customFormat="false" ht="15" hidden="false" customHeight="false" outlineLevel="0" collapsed="false">
      <c r="A11" s="13" t="s">
        <v>65</v>
      </c>
      <c r="B11" s="14"/>
      <c r="C11" s="14"/>
      <c r="E11" s="31" t="n">
        <f aca="false">$B$6-2.5</f>
        <v>2.5</v>
      </c>
      <c r="F11" s="20" t="n">
        <f aca="false">$B$5/(1+$B$7/$B$8)^($B$8*E11)</f>
        <v>84.1973166858524</v>
      </c>
      <c r="G11" s="20" t="n">
        <f aca="false">F11-F10</f>
        <v>2.84725225507712</v>
      </c>
    </row>
    <row r="12" customFormat="false" ht="15" hidden="false" customHeight="false" outlineLevel="0" collapsed="false">
      <c r="A12" s="5" t="s">
        <v>100</v>
      </c>
      <c r="B12" s="26" t="n">
        <f aca="false">B5/(1+B7/B8)^(B8*B6)</f>
        <v>70.8918813709772</v>
      </c>
      <c r="C12" s="24" t="s">
        <v>101</v>
      </c>
      <c r="E12" s="31" t="n">
        <f aca="false">$B$6-3</f>
        <v>2</v>
      </c>
      <c r="F12" s="20" t="n">
        <f aca="false">$B$5/(1+$B$7/$B$8)^($B$8*E12)</f>
        <v>87.1442227698572</v>
      </c>
      <c r="G12" s="20" t="n">
        <f aca="false">F12-F11</f>
        <v>2.94690608400482</v>
      </c>
    </row>
    <row r="13" customFormat="false" ht="15" hidden="false" customHeight="false" outlineLevel="0" collapsed="false">
      <c r="A13" s="5" t="s">
        <v>74</v>
      </c>
      <c r="B13" s="26" t="n">
        <f aca="false">-PV(B7/B8,B8*B6,0,B5)</f>
        <v>70.8918813709772</v>
      </c>
      <c r="C13" s="24" t="s">
        <v>102</v>
      </c>
      <c r="E13" s="31" t="n">
        <f aca="false">$B$6-3.5</f>
        <v>1.5</v>
      </c>
      <c r="F13" s="20" t="n">
        <f aca="false">$B$5/(1+$B$7/$B$8)^($B$8*E13)</f>
        <v>90.1942705668022</v>
      </c>
      <c r="G13" s="20" t="n">
        <f aca="false">F13-F12</f>
        <v>3.05004779694499</v>
      </c>
    </row>
    <row r="14" customFormat="false" ht="15" hidden="false" customHeight="false" outlineLevel="0" collapsed="false">
      <c r="A14" s="5" t="s">
        <v>103</v>
      </c>
      <c r="B14" s="20" t="n">
        <f aca="false">B5-B12</f>
        <v>29.1081186290228</v>
      </c>
      <c r="C14" s="24" t="s">
        <v>104</v>
      </c>
      <c r="E14" s="31" t="n">
        <f aca="false">$B$6-4</f>
        <v>1</v>
      </c>
      <c r="F14" s="20" t="n">
        <f aca="false">$B$5/(1+$B$7/$B$8)^($B$8*E14)</f>
        <v>93.3510700366403</v>
      </c>
      <c r="G14" s="20" t="n">
        <f aca="false">F14-F13</f>
        <v>3.15679946983808</v>
      </c>
    </row>
    <row r="15" customFormat="false" ht="15" hidden="false" customHeight="false" outlineLevel="0" collapsed="false">
      <c r="A15" s="5" t="s">
        <v>105</v>
      </c>
      <c r="B15" s="33" t="n">
        <f aca="false">B8*((B5/B9)^(1/(B8*B6))-1)</f>
        <v>0.0667918771328688</v>
      </c>
      <c r="C15" s="24" t="s">
        <v>106</v>
      </c>
      <c r="E15" s="31" t="n">
        <f aca="false">$B$6-4.5</f>
        <v>0.5</v>
      </c>
      <c r="F15" s="20" t="n">
        <f aca="false">$B$5/(1+$B$7/$B$8)^($B$8*E15)</f>
        <v>96.6183574879227</v>
      </c>
      <c r="G15" s="20" t="n">
        <f aca="false">F15-F14</f>
        <v>3.2672874512824</v>
      </c>
    </row>
    <row r="16" customFormat="false" ht="15" hidden="false" customHeight="false" outlineLevel="0" collapsed="false">
      <c r="A16" s="5" t="s">
        <v>107</v>
      </c>
      <c r="B16" s="25" t="n">
        <f aca="false">B8*RATE(B8*B6,0,-B9,B5)</f>
        <v>0.0667918771328688</v>
      </c>
      <c r="C16" s="24" t="s">
        <v>108</v>
      </c>
      <c r="E16" s="31" t="n">
        <f aca="false">$B$6-5</f>
        <v>0</v>
      </c>
      <c r="F16" s="20" t="n">
        <f aca="false">$B$5/(1+$B$7/$B$8)^($B$8*E16)</f>
        <v>100</v>
      </c>
      <c r="G16" s="20" t="n">
        <f aca="false">F16-F15</f>
        <v>3.38164251207729</v>
      </c>
    </row>
    <row r="17" customFormat="false" ht="15" hidden="false" customHeight="false" outlineLevel="0" collapsed="false">
      <c r="A17" s="5" t="s">
        <v>109</v>
      </c>
      <c r="B17" s="20" t="n">
        <f aca="false">B5/(1+B7)^B6</f>
        <v>71.2986179483668</v>
      </c>
      <c r="C17" s="24" t="s">
        <v>110</v>
      </c>
    </row>
    <row r="18" customFormat="false" ht="15" hidden="false" customHeight="false" outlineLevel="0" collapsed="false">
      <c r="A18" s="5" t="s">
        <v>111</v>
      </c>
      <c r="B18" s="19" t="n">
        <f aca="false">B6</f>
        <v>5</v>
      </c>
      <c r="C18" s="24" t="s">
        <v>112</v>
      </c>
    </row>
    <row r="19" customFormat="false" ht="15" hidden="false" customHeight="false" outlineLevel="0" collapsed="false">
      <c r="A19" s="5" t="s">
        <v>113</v>
      </c>
      <c r="B19" s="20" t="n">
        <f aca="false">B6/(1+B7/B8)</f>
        <v>4.83091787439614</v>
      </c>
      <c r="C19" s="24" t="s">
        <v>114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972F"/>
    <pageSetUpPr fitToPage="true"/>
  </sheetPr>
  <dimension ref="A1:K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4"/>
    <col collapsed="false" customWidth="true" hidden="false" outlineLevel="0" max="3" min="3" style="0" width="44"/>
    <col collapsed="false" customWidth="true" hidden="false" outlineLevel="0" max="4" min="4" style="0" width="3"/>
    <col collapsed="false" customWidth="true" hidden="false" outlineLevel="0" max="5" min="5" style="0" width="12"/>
    <col collapsed="false" customWidth="true" hidden="false" outlineLevel="0" max="7" min="6" style="0" width="14"/>
    <col collapsed="false" customWidth="true" hidden="false" outlineLevel="0" max="8" min="8" style="0" width="3"/>
    <col collapsed="false" customWidth="true" hidden="false" outlineLevel="0" max="11" min="9" style="0" width="12"/>
  </cols>
  <sheetData>
    <row r="1" customFormat="false" ht="19.7" hidden="false" customHeight="false" outlineLevel="0" collapsed="false">
      <c r="A1" s="12" t="s">
        <v>115</v>
      </c>
    </row>
    <row r="2" customFormat="false" ht="15" hidden="false" customHeight="false" outlineLevel="0" collapsed="false">
      <c r="A2" s="2" t="s">
        <v>116</v>
      </c>
    </row>
    <row r="4" customFormat="false" ht="15" hidden="false" customHeight="false" outlineLevel="0" collapsed="false">
      <c r="A4" s="13" t="s">
        <v>52</v>
      </c>
      <c r="B4" s="14"/>
      <c r="C4" s="14"/>
      <c r="E4" s="3" t="s">
        <v>117</v>
      </c>
      <c r="I4" s="3" t="s">
        <v>118</v>
      </c>
    </row>
    <row r="5" customFormat="false" ht="30" hidden="false" customHeight="true" outlineLevel="0" collapsed="false">
      <c r="A5" s="5" t="s">
        <v>9</v>
      </c>
      <c r="B5" s="15" t="n">
        <v>100</v>
      </c>
      <c r="E5" s="16" t="s">
        <v>119</v>
      </c>
      <c r="F5" s="16" t="s">
        <v>120</v>
      </c>
      <c r="I5" s="16" t="s">
        <v>121</v>
      </c>
      <c r="J5" s="16" t="s">
        <v>122</v>
      </c>
      <c r="K5" s="16" t="s">
        <v>123</v>
      </c>
    </row>
    <row r="6" customFormat="false" ht="15" hidden="false" customHeight="false" outlineLevel="0" collapsed="false">
      <c r="A6" s="5" t="s">
        <v>124</v>
      </c>
      <c r="B6" s="17" t="n">
        <v>0.06</v>
      </c>
      <c r="E6" s="28" t="n">
        <v>0.004</v>
      </c>
      <c r="F6" s="20" t="n">
        <f aca="false">-PV(($B$6+E6)/$B$9,$B$15,$B$13,$B$5)</f>
        <v>101.08398667584</v>
      </c>
      <c r="I6" s="28" t="n">
        <v>-0.02</v>
      </c>
      <c r="J6" s="29" t="n">
        <f aca="false">-PV(($B$6+$B$7+I6)/$B$9,$B$15,($B$6+$B$7)/$B$9*$B$5,$B$5)</f>
        <v>105.557072433846</v>
      </c>
      <c r="K6" s="29" t="n">
        <f aca="false">($B$5+$B$13)/(1+($B$6+$B$7+I6)/$B$9)</f>
        <v>100.494071146245</v>
      </c>
    </row>
    <row r="7" customFormat="false" ht="15" hidden="false" customHeight="false" outlineLevel="0" collapsed="false">
      <c r="A7" s="5" t="s">
        <v>125</v>
      </c>
      <c r="B7" s="17" t="n">
        <v>0.008</v>
      </c>
      <c r="E7" s="28" t="n">
        <v>0.0055</v>
      </c>
      <c r="F7" s="20" t="n">
        <f aca="false">-PV(($B$6+E7)/$B$9,$B$15,$B$13,$B$5)</f>
        <v>100.67591623862</v>
      </c>
      <c r="I7" s="28" t="n">
        <v>-0.015</v>
      </c>
      <c r="J7" s="29" t="n">
        <f aca="false">-PV(($B$6+$B$7+I7)/$B$9,$B$15,($B$6+$B$7)/$B$9*$B$5,$B$5)</f>
        <v>104.135259710022</v>
      </c>
      <c r="K7" s="29" t="n">
        <f aca="false">($B$5+$B$13)/(1+($B$6+$B$7+I7)/$B$9)</f>
        <v>100.370096225019</v>
      </c>
    </row>
    <row r="8" customFormat="false" ht="15" hidden="false" customHeight="false" outlineLevel="0" collapsed="false">
      <c r="A8" s="5" t="s">
        <v>126</v>
      </c>
      <c r="B8" s="17" t="n">
        <v>0.01</v>
      </c>
      <c r="E8" s="28" t="n">
        <v>0.007</v>
      </c>
      <c r="F8" s="20" t="n">
        <f aca="false">-PV(($B$6+E8)/$B$9,$B$15,$B$13,$B$5)</f>
        <v>100.26973845565</v>
      </c>
      <c r="I8" s="28" t="n">
        <v>-0.01</v>
      </c>
      <c r="J8" s="29" t="n">
        <f aca="false">-PV(($B$6+$B$7+I8)/$B$9,$B$15,($B$6+$B$7)/$B$9*$B$5,$B$5)</f>
        <v>102.735388766952</v>
      </c>
      <c r="K8" s="29" t="n">
        <f aca="false">($B$5+$B$13)/(1+($B$6+$B$7+I8)/$B$9)</f>
        <v>100.246426811237</v>
      </c>
    </row>
    <row r="9" customFormat="false" ht="15" hidden="false" customHeight="false" outlineLevel="0" collapsed="false">
      <c r="A9" s="5" t="s">
        <v>127</v>
      </c>
      <c r="B9" s="22" t="n">
        <v>4</v>
      </c>
      <c r="E9" s="28" t="n">
        <v>0.0085</v>
      </c>
      <c r="F9" s="20" t="n">
        <f aca="false">-PV(($B$6+E9)/$B$9,$B$15,$B$13,$B$5)</f>
        <v>99.8654437295957</v>
      </c>
      <c r="I9" s="28" t="n">
        <v>-0.005</v>
      </c>
      <c r="J9" s="29" t="n">
        <f aca="false">-PV(($B$6+$B$7+I9)/$B$9,$B$15,($B$6+$B$7)/$B$9*$B$5,$B$5)</f>
        <v>101.357089871865</v>
      </c>
      <c r="K9" s="29" t="n">
        <f aca="false">($B$5+$B$13)/(1+($B$6+$B$7+I9)/$B$9)</f>
        <v>100.123061777012</v>
      </c>
    </row>
    <row r="10" customFormat="false" ht="15" hidden="false" customHeight="false" outlineLevel="0" collapsed="false">
      <c r="A10" s="5" t="s">
        <v>96</v>
      </c>
      <c r="B10" s="22" t="n">
        <v>3</v>
      </c>
      <c r="E10" s="28" t="n">
        <v>0.01</v>
      </c>
      <c r="F10" s="20" t="n">
        <f aca="false">-PV(($B$6+E10)/$B$9,$B$15,$B$13,$B$5)</f>
        <v>99.4630225155787</v>
      </c>
      <c r="I10" s="28" t="n">
        <v>0</v>
      </c>
      <c r="J10" s="29" t="n">
        <f aca="false">-PV(($B$6+$B$7+I10)/$B$9,$B$15,($B$6+$B$7)/$B$9*$B$5,$B$5)</f>
        <v>100</v>
      </c>
      <c r="K10" s="29" t="n">
        <f aca="false">($B$5+$B$13)/(1+($B$6+$B$7+I10)/$B$9)</f>
        <v>100</v>
      </c>
    </row>
    <row r="11" customFormat="false" ht="15" hidden="false" customHeight="false" outlineLevel="0" collapsed="false">
      <c r="E11" s="28" t="n">
        <v>0.0115</v>
      </c>
      <c r="F11" s="20" t="n">
        <f aca="false">-PV(($B$6+E11)/$B$9,$B$15,$B$13,$B$5)</f>
        <v>99.0624653208625</v>
      </c>
      <c r="I11" s="28" t="n">
        <v>0.005</v>
      </c>
      <c r="J11" s="29" t="n">
        <f aca="false">-PV(($B$6+$B$7+I11)/$B$9,$B$15,($B$6+$B$7)/$B$9*$B$5,$B$5)</f>
        <v>98.6637627045508</v>
      </c>
      <c r="K11" s="29" t="n">
        <f aca="false">($B$5+$B$13)/(1+($B$6+$B$7+I11)/$B$9)</f>
        <v>99.8772403633685</v>
      </c>
    </row>
    <row r="12" customFormat="false" ht="15" hidden="false" customHeight="false" outlineLevel="0" collapsed="false">
      <c r="A12" s="13" t="s">
        <v>65</v>
      </c>
      <c r="B12" s="14"/>
      <c r="C12" s="14"/>
      <c r="E12" s="28" t="n">
        <v>0.013</v>
      </c>
      <c r="F12" s="20" t="n">
        <f aca="false">-PV(($B$6+E12)/$B$9,$B$15,$B$13,$B$5)</f>
        <v>98.6637627045508</v>
      </c>
      <c r="I12" s="28" t="n">
        <v>0.01</v>
      </c>
      <c r="J12" s="29" t="n">
        <f aca="false">-PV(($B$6+$B$7+I12)/$B$9,$B$15,($B$6+$B$7)/$B$9*$B$5,$B$5)</f>
        <v>97.3480279892888</v>
      </c>
      <c r="K12" s="29" t="n">
        <f aca="false">($B$5+$B$13)/(1+($B$6+$B$7+I12)/$B$9)</f>
        <v>99.7547817557626</v>
      </c>
    </row>
    <row r="13" customFormat="false" ht="15" hidden="false" customHeight="false" outlineLevel="0" collapsed="false">
      <c r="A13" s="5" t="s">
        <v>128</v>
      </c>
      <c r="B13" s="20" t="n">
        <f aca="false">(B6+B7)/B9*B5</f>
        <v>1.7</v>
      </c>
      <c r="C13" s="24" t="s">
        <v>129</v>
      </c>
      <c r="E13" s="28" t="n">
        <v>0.0145</v>
      </c>
      <c r="F13" s="20" t="n">
        <f aca="false">-PV(($B$6+E13)/$B$9,$B$15,$B$13,$B$5)</f>
        <v>98.2669052772846</v>
      </c>
      <c r="I13" s="28" t="n">
        <v>0.015</v>
      </c>
      <c r="J13" s="29" t="n">
        <f aca="false">-PV(($B$6+$B$7+I13)/$B$9,$B$15,($B$6+$B$7)/$B$9*$B$5,$B$5)</f>
        <v>96.0524521838069</v>
      </c>
      <c r="K13" s="29" t="n">
        <f aca="false">($B$5+$B$13)/(1+($B$6+$B$7+I13)/$B$9)</f>
        <v>99.6326230712711</v>
      </c>
    </row>
    <row r="14" customFormat="false" ht="15" hidden="false" customHeight="false" outlineLevel="0" collapsed="false">
      <c r="A14" s="5" t="s">
        <v>130</v>
      </c>
      <c r="B14" s="25" t="n">
        <f aca="false">(B6+B8)/B9</f>
        <v>0.0175</v>
      </c>
      <c r="C14" s="24" t="s">
        <v>131</v>
      </c>
      <c r="E14" s="28" t="n">
        <v>0.016</v>
      </c>
      <c r="F14" s="20" t="n">
        <f aca="false">-PV(($B$6+E14)/$B$9,$B$15,$B$13,$B$5)</f>
        <v>97.8718837009406</v>
      </c>
      <c r="I14" s="28" t="n">
        <v>0.02</v>
      </c>
      <c r="J14" s="29" t="n">
        <f aca="false">-PV(($B$6+$B$7+I14)/$B$9,$B$15,($B$6+$B$7)/$B$9*$B$5,$B$5)</f>
        <v>94.7766978213295</v>
      </c>
      <c r="K14" s="29" t="n">
        <f aca="false">($B$5+$B$13)/(1+($B$6+$B$7+I14)/$B$9)</f>
        <v>99.5107632093934</v>
      </c>
    </row>
    <row r="15" customFormat="false" ht="15" hidden="false" customHeight="false" outlineLevel="0" collapsed="false">
      <c r="A15" s="5" t="s">
        <v>132</v>
      </c>
      <c r="B15" s="18" t="n">
        <f aca="false">B9*B10</f>
        <v>12</v>
      </c>
      <c r="C15" s="24" t="s">
        <v>133</v>
      </c>
    </row>
    <row r="16" customFormat="false" ht="15" hidden="false" customHeight="false" outlineLevel="0" collapsed="false">
      <c r="A16" s="5" t="s">
        <v>120</v>
      </c>
      <c r="B16" s="26" t="n">
        <f aca="false">-PV(B14,B15,B13,B5)</f>
        <v>99.4630225155787</v>
      </c>
      <c r="C16" s="24" t="s">
        <v>134</v>
      </c>
    </row>
    <row r="17" customFormat="false" ht="15" hidden="false" customHeight="false" outlineLevel="0" collapsed="false">
      <c r="A17" s="5" t="s">
        <v>135</v>
      </c>
      <c r="B17" s="20" t="n">
        <f aca="false">-PV((B6+B7)/B9,B15,B13,B5)</f>
        <v>100</v>
      </c>
      <c r="C17" s="24" t="s">
        <v>136</v>
      </c>
    </row>
    <row r="18" customFormat="false" ht="15" hidden="false" customHeight="false" outlineLevel="0" collapsed="false">
      <c r="A18" s="5" t="s">
        <v>137</v>
      </c>
      <c r="B18" s="27" t="str">
        <f aca="false">IF(B8&gt;B7,"Discount",IF(B8&lt;B7,"Premium","Par"))</f>
        <v>Discount</v>
      </c>
      <c r="C18" s="24" t="s">
        <v>138</v>
      </c>
    </row>
    <row r="20" customFormat="false" ht="15" hidden="false" customHeight="false" outlineLevel="0" collapsed="false">
      <c r="I20" s="11" t="s">
        <v>139</v>
      </c>
    </row>
    <row r="21" customFormat="false" ht="15" hidden="false" customHeight="false" outlineLevel="0" collapsed="false">
      <c r="I21" s="11" t="s">
        <v>140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972F"/>
    <pageSetUpPr fitToPage="true"/>
  </sheetPr>
  <dimension ref="A1:H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4"/>
    <col collapsed="false" customWidth="true" hidden="false" outlineLevel="0" max="3" min="3" style="0" width="40"/>
    <col collapsed="false" customWidth="true" hidden="false" outlineLevel="0" max="4" min="4" style="0" width="3"/>
    <col collapsed="false" customWidth="true" hidden="false" outlineLevel="0" max="5" min="5" style="0" width="12"/>
    <col collapsed="false" customWidth="true" hidden="false" outlineLevel="0" max="8" min="6" style="0" width="14"/>
  </cols>
  <sheetData>
    <row r="1" customFormat="false" ht="19.7" hidden="false" customHeight="false" outlineLevel="0" collapsed="false">
      <c r="A1" s="12" t="s">
        <v>141</v>
      </c>
    </row>
    <row r="2" customFormat="false" ht="15" hidden="false" customHeight="false" outlineLevel="0" collapsed="false">
      <c r="A2" s="2" t="s">
        <v>142</v>
      </c>
    </row>
    <row r="4" customFormat="false" ht="15" hidden="false" customHeight="false" outlineLevel="0" collapsed="false">
      <c r="A4" s="13" t="s">
        <v>52</v>
      </c>
      <c r="B4" s="14"/>
      <c r="C4" s="14"/>
      <c r="E4" s="3" t="s">
        <v>143</v>
      </c>
    </row>
    <row r="5" customFormat="false" ht="30" hidden="false" customHeight="true" outlineLevel="0" collapsed="false">
      <c r="A5" s="5" t="s">
        <v>144</v>
      </c>
      <c r="B5" s="15" t="n">
        <v>1000</v>
      </c>
      <c r="E5" s="16" t="s">
        <v>145</v>
      </c>
      <c r="F5" s="16" t="s">
        <v>146</v>
      </c>
      <c r="G5" s="16" t="s">
        <v>147</v>
      </c>
      <c r="H5" s="16" t="s">
        <v>148</v>
      </c>
    </row>
    <row r="6" customFormat="false" ht="15" hidden="false" customHeight="false" outlineLevel="0" collapsed="false">
      <c r="A6" s="5" t="s">
        <v>149</v>
      </c>
      <c r="B6" s="17" t="n">
        <v>0.06</v>
      </c>
      <c r="E6" s="29" t="n">
        <v>0</v>
      </c>
      <c r="F6" s="29" t="n">
        <f aca="false">$B$15</f>
        <v>883.310462099448</v>
      </c>
      <c r="G6" s="29" t="n">
        <f aca="false">$B$9*E6</f>
        <v>0</v>
      </c>
      <c r="H6" s="29" t="n">
        <f aca="false">MAX(F6,G6)</f>
        <v>883.310462099448</v>
      </c>
    </row>
    <row r="7" customFormat="false" ht="15" hidden="false" customHeight="false" outlineLevel="0" collapsed="false">
      <c r="A7" s="5" t="s">
        <v>96</v>
      </c>
      <c r="B7" s="22" t="n">
        <v>5</v>
      </c>
      <c r="E7" s="29" t="n">
        <v>4</v>
      </c>
      <c r="F7" s="29" t="n">
        <f aca="false">$B$15</f>
        <v>883.310462099448</v>
      </c>
      <c r="G7" s="29" t="n">
        <f aca="false">$B$9*E7</f>
        <v>100</v>
      </c>
      <c r="H7" s="29" t="n">
        <f aca="false">MAX(F7,G7)</f>
        <v>883.310462099448</v>
      </c>
    </row>
    <row r="8" customFormat="false" ht="15" hidden="false" customHeight="false" outlineLevel="0" collapsed="false">
      <c r="A8" s="5" t="s">
        <v>150</v>
      </c>
      <c r="B8" s="17" t="n">
        <v>0.09</v>
      </c>
      <c r="E8" s="29" t="n">
        <v>8</v>
      </c>
      <c r="F8" s="29" t="n">
        <f aca="false">$B$15</f>
        <v>883.310462099448</v>
      </c>
      <c r="G8" s="29" t="n">
        <f aca="false">$B$9*E8</f>
        <v>200</v>
      </c>
      <c r="H8" s="29" t="n">
        <f aca="false">MAX(F8,G8)</f>
        <v>883.310462099448</v>
      </c>
    </row>
    <row r="9" customFormat="false" ht="15" hidden="false" customHeight="false" outlineLevel="0" collapsed="false">
      <c r="A9" s="5" t="s">
        <v>151</v>
      </c>
      <c r="B9" s="22" t="n">
        <v>25</v>
      </c>
      <c r="E9" s="29" t="n">
        <v>12</v>
      </c>
      <c r="F9" s="29" t="n">
        <f aca="false">$B$15</f>
        <v>883.310462099448</v>
      </c>
      <c r="G9" s="29" t="n">
        <f aca="false">$B$9*E9</f>
        <v>300</v>
      </c>
      <c r="H9" s="29" t="n">
        <f aca="false">MAX(F9,G9)</f>
        <v>883.310462099448</v>
      </c>
    </row>
    <row r="10" customFormat="false" ht="15" hidden="false" customHeight="false" outlineLevel="0" collapsed="false">
      <c r="A10" s="5" t="s">
        <v>152</v>
      </c>
      <c r="B10" s="15" t="n">
        <v>32</v>
      </c>
      <c r="E10" s="29" t="n">
        <v>16</v>
      </c>
      <c r="F10" s="29" t="n">
        <f aca="false">$B$15</f>
        <v>883.310462099448</v>
      </c>
      <c r="G10" s="29" t="n">
        <f aca="false">$B$9*E10</f>
        <v>400</v>
      </c>
      <c r="H10" s="29" t="n">
        <f aca="false">MAX(F10,G10)</f>
        <v>883.310462099448</v>
      </c>
    </row>
    <row r="11" customFormat="false" ht="15" hidden="false" customHeight="false" outlineLevel="0" collapsed="false">
      <c r="A11" s="5" t="s">
        <v>153</v>
      </c>
      <c r="B11" s="15" t="n">
        <v>1020</v>
      </c>
      <c r="E11" s="29" t="n">
        <v>20</v>
      </c>
      <c r="F11" s="29" t="n">
        <f aca="false">$B$15</f>
        <v>883.310462099448</v>
      </c>
      <c r="G11" s="29" t="n">
        <f aca="false">$B$9*E11</f>
        <v>500</v>
      </c>
      <c r="H11" s="29" t="n">
        <f aca="false">MAX(F11,G11)</f>
        <v>883.310462099448</v>
      </c>
    </row>
    <row r="12" customFormat="false" ht="15" hidden="false" customHeight="false" outlineLevel="0" collapsed="false">
      <c r="A12" s="5" t="s">
        <v>154</v>
      </c>
      <c r="B12" s="15" t="n">
        <v>1</v>
      </c>
      <c r="E12" s="29" t="n">
        <v>24</v>
      </c>
      <c r="F12" s="29" t="n">
        <f aca="false">$B$15</f>
        <v>883.310462099448</v>
      </c>
      <c r="G12" s="29" t="n">
        <f aca="false">$B$9*E12</f>
        <v>600</v>
      </c>
      <c r="H12" s="29" t="n">
        <f aca="false">MAX(F12,G12)</f>
        <v>883.310462099448</v>
      </c>
    </row>
    <row r="13" customFormat="false" ht="15" hidden="false" customHeight="false" outlineLevel="0" collapsed="false">
      <c r="E13" s="29" t="n">
        <v>28</v>
      </c>
      <c r="F13" s="29" t="n">
        <f aca="false">$B$15</f>
        <v>883.310462099448</v>
      </c>
      <c r="G13" s="29" t="n">
        <f aca="false">$B$9*E13</f>
        <v>700</v>
      </c>
      <c r="H13" s="29" t="n">
        <f aca="false">MAX(F13,G13)</f>
        <v>883.310462099448</v>
      </c>
    </row>
    <row r="14" customFormat="false" ht="15" hidden="false" customHeight="false" outlineLevel="0" collapsed="false">
      <c r="A14" s="13" t="s">
        <v>65</v>
      </c>
      <c r="B14" s="14"/>
      <c r="C14" s="14"/>
      <c r="E14" s="29" t="n">
        <v>32</v>
      </c>
      <c r="F14" s="29" t="n">
        <f aca="false">$B$15</f>
        <v>883.310462099448</v>
      </c>
      <c r="G14" s="29" t="n">
        <f aca="false">$B$9*E14</f>
        <v>800</v>
      </c>
      <c r="H14" s="29" t="n">
        <f aca="false">MAX(F14,G14)</f>
        <v>883.310462099448</v>
      </c>
    </row>
    <row r="15" customFormat="false" ht="15" hidden="false" customHeight="false" outlineLevel="0" collapsed="false">
      <c r="A15" s="5" t="s">
        <v>155</v>
      </c>
      <c r="B15" s="34" t="n">
        <f aca="false">-PV(B8,B7,B5*B6,B5)</f>
        <v>883.310462099448</v>
      </c>
      <c r="C15" s="24" t="s">
        <v>156</v>
      </c>
      <c r="E15" s="29" t="n">
        <v>36</v>
      </c>
      <c r="F15" s="29" t="n">
        <f aca="false">$B$15</f>
        <v>883.310462099448</v>
      </c>
      <c r="G15" s="29" t="n">
        <f aca="false">$B$9*E15</f>
        <v>900</v>
      </c>
      <c r="H15" s="29" t="n">
        <f aca="false">MAX(F15,G15)</f>
        <v>900</v>
      </c>
    </row>
    <row r="16" customFormat="false" ht="15" hidden="false" customHeight="false" outlineLevel="0" collapsed="false">
      <c r="A16" s="5" t="s">
        <v>157</v>
      </c>
      <c r="B16" s="29" t="n">
        <f aca="false">B5/B9</f>
        <v>40</v>
      </c>
      <c r="C16" s="24" t="s">
        <v>158</v>
      </c>
      <c r="E16" s="29" t="n">
        <v>40</v>
      </c>
      <c r="F16" s="29" t="n">
        <f aca="false">$B$15</f>
        <v>883.310462099448</v>
      </c>
      <c r="G16" s="29" t="n">
        <f aca="false">$B$9*E16</f>
        <v>1000</v>
      </c>
      <c r="H16" s="29" t="n">
        <f aca="false">MAX(F16,G16)</f>
        <v>1000</v>
      </c>
    </row>
    <row r="17" customFormat="false" ht="15" hidden="false" customHeight="false" outlineLevel="0" collapsed="false">
      <c r="A17" s="5" t="s">
        <v>159</v>
      </c>
      <c r="B17" s="34" t="n">
        <f aca="false">B9*B10</f>
        <v>800</v>
      </c>
      <c r="C17" s="24" t="s">
        <v>133</v>
      </c>
      <c r="E17" s="29" t="n">
        <v>44</v>
      </c>
      <c r="F17" s="29" t="n">
        <f aca="false">$B$15</f>
        <v>883.310462099448</v>
      </c>
      <c r="G17" s="29" t="n">
        <f aca="false">$B$9*E17</f>
        <v>1100</v>
      </c>
      <c r="H17" s="29" t="n">
        <f aca="false">MAX(F17,G17)</f>
        <v>1100</v>
      </c>
    </row>
    <row r="18" customFormat="false" ht="15" hidden="false" customHeight="false" outlineLevel="0" collapsed="false">
      <c r="A18" s="5" t="s">
        <v>160</v>
      </c>
      <c r="B18" s="34" t="n">
        <f aca="false">MAX(B15,B17)</f>
        <v>883.310462099448</v>
      </c>
      <c r="C18" s="24" t="s">
        <v>161</v>
      </c>
      <c r="E18" s="29" t="n">
        <v>48</v>
      </c>
      <c r="F18" s="29" t="n">
        <f aca="false">$B$15</f>
        <v>883.310462099448</v>
      </c>
      <c r="G18" s="29" t="n">
        <f aca="false">$B$9*E18</f>
        <v>1200</v>
      </c>
      <c r="H18" s="29" t="n">
        <f aca="false">MAX(F18,G18)</f>
        <v>1200</v>
      </c>
    </row>
    <row r="19" customFormat="false" ht="15" hidden="false" customHeight="false" outlineLevel="0" collapsed="false">
      <c r="A19" s="5" t="s">
        <v>162</v>
      </c>
      <c r="B19" s="29" t="n">
        <f aca="false">B11/B9</f>
        <v>40.8</v>
      </c>
      <c r="C19" s="24" t="s">
        <v>163</v>
      </c>
      <c r="E19" s="29" t="n">
        <v>52</v>
      </c>
      <c r="F19" s="29" t="n">
        <f aca="false">$B$15</f>
        <v>883.310462099448</v>
      </c>
      <c r="G19" s="29" t="n">
        <f aca="false">$B$9*E19</f>
        <v>1300</v>
      </c>
      <c r="H19" s="29" t="n">
        <f aca="false">MAX(F19,G19)</f>
        <v>1300</v>
      </c>
    </row>
    <row r="20" customFormat="false" ht="15" hidden="false" customHeight="false" outlineLevel="0" collapsed="false">
      <c r="A20" s="5" t="s">
        <v>164</v>
      </c>
      <c r="B20" s="29" t="n">
        <f aca="false">B19-B10</f>
        <v>8.8</v>
      </c>
      <c r="C20" s="24" t="s">
        <v>165</v>
      </c>
      <c r="E20" s="29" t="n">
        <v>56</v>
      </c>
      <c r="F20" s="29" t="n">
        <f aca="false">$B$15</f>
        <v>883.310462099448</v>
      </c>
      <c r="G20" s="29" t="n">
        <f aca="false">$B$9*E20</f>
        <v>1400</v>
      </c>
      <c r="H20" s="29" t="n">
        <f aca="false">MAX(F20,G20)</f>
        <v>1400</v>
      </c>
    </row>
    <row r="21" customFormat="false" ht="15" hidden="false" customHeight="false" outlineLevel="0" collapsed="false">
      <c r="A21" s="5" t="s">
        <v>166</v>
      </c>
      <c r="B21" s="28" t="n">
        <f aca="false">B20/B10</f>
        <v>0.275</v>
      </c>
      <c r="C21" s="24" t="s">
        <v>167</v>
      </c>
      <c r="E21" s="29" t="n">
        <v>60</v>
      </c>
      <c r="F21" s="29" t="n">
        <f aca="false">$B$15</f>
        <v>883.310462099448</v>
      </c>
      <c r="G21" s="29" t="n">
        <f aca="false">$B$9*E21</f>
        <v>1500</v>
      </c>
      <c r="H21" s="29" t="n">
        <f aca="false">MAX(F21,G21)</f>
        <v>1500</v>
      </c>
    </row>
    <row r="22" customFormat="false" ht="15" hidden="false" customHeight="false" outlineLevel="0" collapsed="false">
      <c r="A22" s="5" t="s">
        <v>168</v>
      </c>
      <c r="B22" s="28" t="n">
        <f aca="false">B11/B15-1</f>
        <v>0.154746879795433</v>
      </c>
      <c r="C22" s="24" t="s">
        <v>169</v>
      </c>
      <c r="E22" s="29" t="n">
        <v>64</v>
      </c>
      <c r="F22" s="29" t="n">
        <f aca="false">$B$15</f>
        <v>883.310462099448</v>
      </c>
      <c r="G22" s="29" t="n">
        <f aca="false">$B$9*E22</f>
        <v>1600</v>
      </c>
      <c r="H22" s="29" t="n">
        <f aca="false">MAX(F22,G22)</f>
        <v>1600</v>
      </c>
    </row>
    <row r="23" customFormat="false" ht="15" hidden="false" customHeight="false" outlineLevel="0" collapsed="false">
      <c r="A23" s="5" t="s">
        <v>170</v>
      </c>
      <c r="B23" s="29" t="n">
        <f aca="false">B5*B6-B9*B12</f>
        <v>35</v>
      </c>
      <c r="C23" s="24" t="s">
        <v>171</v>
      </c>
      <c r="E23" s="29" t="n">
        <v>68</v>
      </c>
      <c r="F23" s="29" t="n">
        <f aca="false">$B$15</f>
        <v>883.310462099448</v>
      </c>
      <c r="G23" s="29" t="n">
        <f aca="false">$B$9*E23</f>
        <v>1700</v>
      </c>
      <c r="H23" s="29" t="n">
        <f aca="false">MAX(F23,G23)</f>
        <v>1700</v>
      </c>
    </row>
    <row r="24" customFormat="false" ht="15" hidden="false" customHeight="false" outlineLevel="0" collapsed="false">
      <c r="A24" s="5" t="s">
        <v>172</v>
      </c>
      <c r="B24" s="29" t="n">
        <f aca="false">(B11-B17)/B23</f>
        <v>6.28571428571429</v>
      </c>
      <c r="C24" s="24" t="s">
        <v>173</v>
      </c>
      <c r="E24" s="29" t="n">
        <v>72</v>
      </c>
      <c r="F24" s="29" t="n">
        <f aca="false">$B$15</f>
        <v>883.310462099448</v>
      </c>
      <c r="G24" s="29" t="n">
        <f aca="false">$B$9*E24</f>
        <v>1800</v>
      </c>
      <c r="H24" s="29" t="n">
        <f aca="false">MAX(F24,G24)</f>
        <v>1800</v>
      </c>
    </row>
    <row r="25" customFormat="false" ht="15" hidden="false" customHeight="false" outlineLevel="0" collapsed="false">
      <c r="E25" s="29" t="n">
        <v>76</v>
      </c>
      <c r="F25" s="29" t="n">
        <f aca="false">$B$15</f>
        <v>883.310462099448</v>
      </c>
      <c r="G25" s="29" t="n">
        <f aca="false">$B$9*E25</f>
        <v>1900</v>
      </c>
      <c r="H25" s="29" t="n">
        <f aca="false">MAX(F25,G25)</f>
        <v>1900</v>
      </c>
    </row>
    <row r="26" customFormat="false" ht="15" hidden="false" customHeight="false" outlineLevel="0" collapsed="false">
      <c r="E26" s="29" t="n">
        <v>80</v>
      </c>
      <c r="F26" s="29" t="n">
        <f aca="false">$B$15</f>
        <v>883.310462099448</v>
      </c>
      <c r="G26" s="29" t="n">
        <f aca="false">$B$9*E26</f>
        <v>2000</v>
      </c>
      <c r="H26" s="29" t="n">
        <f aca="false">MAX(F26,G26)</f>
        <v>2000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972F"/>
    <pageSetUpPr fitToPage="true"/>
  </sheetPr>
  <dimension ref="A1:H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3" min="3" style="0" width="50"/>
    <col collapsed="false" customWidth="true" hidden="false" outlineLevel="0" max="4" min="4" style="0" width="3"/>
    <col collapsed="false" customWidth="true" hidden="false" outlineLevel="0" max="5" min="5" style="0" width="16"/>
    <col collapsed="false" customWidth="true" hidden="false" outlineLevel="0" max="8" min="6" style="0" width="14"/>
  </cols>
  <sheetData>
    <row r="1" customFormat="false" ht="19.7" hidden="false" customHeight="false" outlineLevel="0" collapsed="false">
      <c r="A1" s="12" t="s">
        <v>174</v>
      </c>
    </row>
    <row r="2" customFormat="false" ht="15" hidden="false" customHeight="false" outlineLevel="0" collapsed="false">
      <c r="A2" s="2" t="s">
        <v>175</v>
      </c>
    </row>
    <row r="4" customFormat="false" ht="15" hidden="false" customHeight="false" outlineLevel="0" collapsed="false">
      <c r="A4" s="13" t="s">
        <v>52</v>
      </c>
      <c r="B4" s="14"/>
      <c r="C4" s="14"/>
      <c r="E4" s="3" t="s">
        <v>176</v>
      </c>
    </row>
    <row r="5" customFormat="false" ht="30" hidden="false" customHeight="true" outlineLevel="0" collapsed="false">
      <c r="A5" s="5" t="s">
        <v>177</v>
      </c>
      <c r="B5" s="23" t="n">
        <v>46341</v>
      </c>
      <c r="E5" s="16" t="s">
        <v>178</v>
      </c>
      <c r="F5" s="16" t="s">
        <v>179</v>
      </c>
      <c r="G5" s="16" t="s">
        <v>180</v>
      </c>
      <c r="H5" s="16" t="s">
        <v>181</v>
      </c>
    </row>
    <row r="6" customFormat="false" ht="15" hidden="false" customHeight="false" outlineLevel="0" collapsed="false">
      <c r="A6" s="5" t="s">
        <v>64</v>
      </c>
      <c r="B6" s="23" t="n">
        <v>49994</v>
      </c>
      <c r="E6" s="23" t="n">
        <v>47437</v>
      </c>
      <c r="F6" s="15" t="n">
        <v>102</v>
      </c>
      <c r="G6" s="25" t="n">
        <f aca="false">YIELD($B$5,E6,$B$7,$B$8,F6,$B$9,$B$10)</f>
        <v>0.0692433791049756</v>
      </c>
      <c r="H6" s="31" t="n">
        <f aca="false">YEARFRAC($B$5,E6,$B$10)</f>
        <v>3</v>
      </c>
    </row>
    <row r="7" customFormat="false" ht="15" hidden="false" customHeight="false" outlineLevel="0" collapsed="false">
      <c r="A7" s="5" t="s">
        <v>182</v>
      </c>
      <c r="B7" s="17" t="n">
        <v>0.08</v>
      </c>
      <c r="E7" s="23" t="n">
        <v>48167</v>
      </c>
      <c r="F7" s="15" t="n">
        <v>101</v>
      </c>
      <c r="G7" s="25" t="n">
        <f aca="false">YIELD($B$5,E7,$B$7,$B$8,F7,$B$9,$B$10)</f>
        <v>0.0708563654294867</v>
      </c>
      <c r="H7" s="31" t="n">
        <f aca="false">YEARFRAC($B$5,E7,$B$10)</f>
        <v>5</v>
      </c>
    </row>
    <row r="8" customFormat="false" ht="15" hidden="false" customHeight="false" outlineLevel="0" collapsed="false">
      <c r="A8" s="5" t="s">
        <v>183</v>
      </c>
      <c r="B8" s="15" t="n">
        <v>104.5</v>
      </c>
      <c r="E8" s="23" t="n">
        <v>48898</v>
      </c>
      <c r="F8" s="15" t="n">
        <v>100</v>
      </c>
      <c r="G8" s="25" t="n">
        <f aca="false">YIELD($B$5,E8,$B$7,$B$8,F8,$B$9,$B$10)</f>
        <v>0.0717112592236632</v>
      </c>
      <c r="H8" s="31" t="n">
        <f aca="false">YEARFRAC($B$5,E8,$B$10)</f>
        <v>7</v>
      </c>
    </row>
    <row r="9" customFormat="false" ht="15" hidden="false" customHeight="false" outlineLevel="0" collapsed="false">
      <c r="A9" s="5" t="s">
        <v>184</v>
      </c>
      <c r="B9" s="22" t="n">
        <v>2</v>
      </c>
      <c r="E9" s="35" t="n">
        <f aca="false">B6</f>
        <v>49994</v>
      </c>
      <c r="F9" s="29" t="n">
        <v>100</v>
      </c>
      <c r="G9" s="25" t="n">
        <f aca="false">B13</f>
        <v>0.0735649396992106</v>
      </c>
      <c r="H9" s="31" t="n">
        <f aca="false">YEARFRAC($B$5,E9,$B$10)</f>
        <v>10</v>
      </c>
    </row>
    <row r="10" customFormat="false" ht="15" hidden="false" customHeight="false" outlineLevel="0" collapsed="false">
      <c r="A10" s="5" t="s">
        <v>185</v>
      </c>
      <c r="B10" s="22" t="n">
        <v>0</v>
      </c>
    </row>
    <row r="11" customFormat="false" ht="30" hidden="false" customHeight="true" outlineLevel="0" collapsed="false">
      <c r="E11" s="16" t="s">
        <v>186</v>
      </c>
      <c r="F11" s="16" t="s">
        <v>86</v>
      </c>
    </row>
    <row r="12" customFormat="false" ht="15" hidden="false" customHeight="false" outlineLevel="0" collapsed="false">
      <c r="A12" s="13" t="s">
        <v>65</v>
      </c>
      <c r="B12" s="14"/>
      <c r="C12" s="14"/>
      <c r="E12" s="27" t="s">
        <v>187</v>
      </c>
      <c r="F12" s="28" t="n">
        <f aca="false">G6</f>
        <v>0.0692433791049756</v>
      </c>
    </row>
    <row r="13" customFormat="false" ht="15" hidden="false" customHeight="false" outlineLevel="0" collapsed="false">
      <c r="A13" s="5" t="s">
        <v>188</v>
      </c>
      <c r="B13" s="33" t="n">
        <f aca="false">YIELD(B5,B6,B7,B8,100,B9,B10)</f>
        <v>0.0735649396992106</v>
      </c>
      <c r="C13" s="24" t="s">
        <v>189</v>
      </c>
      <c r="E13" s="27" t="s">
        <v>190</v>
      </c>
      <c r="F13" s="28" t="n">
        <f aca="false">G7</f>
        <v>0.0708563654294867</v>
      </c>
    </row>
    <row r="14" customFormat="false" ht="15" hidden="false" customHeight="false" outlineLevel="0" collapsed="false">
      <c r="A14" s="5" t="s">
        <v>191</v>
      </c>
      <c r="B14" s="25" t="n">
        <f aca="false">B9*RATE(COUPNUM(B5,B6,B9,B10),100*B7/B9,-B8,100)</f>
        <v>0.0735649396992105</v>
      </c>
      <c r="C14" s="24" t="s">
        <v>192</v>
      </c>
      <c r="E14" s="27" t="s">
        <v>193</v>
      </c>
      <c r="F14" s="28" t="n">
        <f aca="false">G8</f>
        <v>0.0717112592236632</v>
      </c>
    </row>
    <row r="15" customFormat="false" ht="15" hidden="false" customHeight="false" outlineLevel="0" collapsed="false">
      <c r="A15" s="5" t="s">
        <v>194</v>
      </c>
      <c r="B15" s="25" t="n">
        <f aca="false">100*B7/B8</f>
        <v>0.076555023923445</v>
      </c>
      <c r="C15" s="24" t="s">
        <v>195</v>
      </c>
      <c r="E15" s="27" t="s">
        <v>196</v>
      </c>
      <c r="F15" s="28" t="n">
        <f aca="false">G9</f>
        <v>0.0735649396992106</v>
      </c>
    </row>
    <row r="16" customFormat="false" ht="15" hidden="false" customHeight="false" outlineLevel="0" collapsed="false">
      <c r="A16" s="5" t="s">
        <v>197</v>
      </c>
      <c r="B16" s="33" t="n">
        <f aca="false">MIN(B13,G6:G8)</f>
        <v>0.0692433791049756</v>
      </c>
      <c r="C16" s="24" t="s">
        <v>198</v>
      </c>
    </row>
    <row r="17" customFormat="false" ht="15" hidden="false" customHeight="false" outlineLevel="0" collapsed="false">
      <c r="A17" s="5" t="s">
        <v>199</v>
      </c>
      <c r="B17" s="35" t="n">
        <f aca="false">INDEX(E6:E9,MATCH(B16,G6:G9,0))</f>
        <v>47437</v>
      </c>
      <c r="C17" s="24" t="s">
        <v>200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972F"/>
    <pageSetUpPr fitToPage="true"/>
  </sheetPr>
  <dimension ref="A1:F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4"/>
    <col collapsed="false" customWidth="true" hidden="false" outlineLevel="0" max="3" min="3" style="0" width="46"/>
    <col collapsed="false" customWidth="true" hidden="false" outlineLevel="0" max="4" min="4" style="0" width="3"/>
    <col collapsed="false" customWidth="true" hidden="false" outlineLevel="0" max="7" min="5" style="0" width="12"/>
    <col collapsed="false" customWidth="true" hidden="false" outlineLevel="0" max="9" min="8" style="0" width="14"/>
  </cols>
  <sheetData>
    <row r="1" customFormat="false" ht="19.7" hidden="false" customHeight="false" outlineLevel="0" collapsed="false">
      <c r="A1" s="12" t="s">
        <v>201</v>
      </c>
    </row>
    <row r="2" customFormat="false" ht="15" hidden="false" customHeight="false" outlineLevel="0" collapsed="false">
      <c r="A2" s="2" t="s">
        <v>202</v>
      </c>
    </row>
    <row r="4" customFormat="false" ht="15" hidden="false" customHeight="false" outlineLevel="0" collapsed="false">
      <c r="A4" s="13" t="s">
        <v>203</v>
      </c>
      <c r="B4" s="14"/>
      <c r="C4" s="14"/>
    </row>
    <row r="5" customFormat="false" ht="30" hidden="false" customHeight="true" outlineLevel="0" collapsed="false">
      <c r="A5" s="16" t="s">
        <v>204</v>
      </c>
      <c r="B5" s="16" t="s">
        <v>205</v>
      </c>
      <c r="C5" s="16" t="s">
        <v>206</v>
      </c>
    </row>
    <row r="6" customFormat="false" ht="15" hidden="false" customHeight="false" outlineLevel="0" collapsed="false">
      <c r="A6" s="22" t="n">
        <v>91</v>
      </c>
      <c r="B6" s="17" t="n">
        <v>0.0545</v>
      </c>
      <c r="C6" s="20" t="n">
        <f aca="false">100/(1+B6*A6/365)</f>
        <v>98.6594478584818</v>
      </c>
    </row>
    <row r="7" customFormat="false" ht="15" hidden="false" customHeight="false" outlineLevel="0" collapsed="false">
      <c r="A7" s="22" t="n">
        <v>182</v>
      </c>
      <c r="B7" s="17" t="n">
        <v>0.0555</v>
      </c>
      <c r="C7" s="20" t="n">
        <f aca="false">100/(1+B7*A7/365)</f>
        <v>97.3071252809243</v>
      </c>
    </row>
    <row r="8" customFormat="false" ht="15" hidden="false" customHeight="false" outlineLevel="0" collapsed="false">
      <c r="A8" s="22" t="n">
        <v>364</v>
      </c>
      <c r="B8" s="17" t="n">
        <v>0.0565</v>
      </c>
      <c r="C8" s="20" t="n">
        <f aca="false">100/(1+B8*A8/365)</f>
        <v>94.6660234564251</v>
      </c>
    </row>
    <row r="10" customFormat="false" ht="15" hidden="false" customHeight="false" outlineLevel="0" collapsed="false">
      <c r="A10" s="5" t="s">
        <v>207</v>
      </c>
      <c r="B10" s="32" t="n">
        <v>98.65</v>
      </c>
    </row>
    <row r="11" customFormat="false" ht="15" hidden="false" customHeight="false" outlineLevel="0" collapsed="false">
      <c r="A11" s="5" t="s">
        <v>208</v>
      </c>
      <c r="B11" s="33" t="n">
        <f aca="false">(100-B10)/B10*365/91</f>
        <v>0.0548893579810962</v>
      </c>
      <c r="C11" s="24" t="s">
        <v>209</v>
      </c>
    </row>
    <row r="13" customFormat="false" ht="15" hidden="false" customHeight="false" outlineLevel="0" collapsed="false">
      <c r="A13" s="13" t="s">
        <v>210</v>
      </c>
      <c r="B13" s="14"/>
      <c r="C13" s="14"/>
      <c r="E13" s="3" t="s">
        <v>211</v>
      </c>
    </row>
    <row r="14" customFormat="false" ht="30" hidden="false" customHeight="true" outlineLevel="0" collapsed="false">
      <c r="A14" s="5" t="s">
        <v>177</v>
      </c>
      <c r="B14" s="23" t="n">
        <v>46341</v>
      </c>
      <c r="E14" s="16" t="s">
        <v>212</v>
      </c>
      <c r="F14" s="16" t="s">
        <v>86</v>
      </c>
    </row>
    <row r="15" customFormat="false" ht="15" hidden="false" customHeight="false" outlineLevel="0" collapsed="false">
      <c r="A15" s="5" t="s">
        <v>213</v>
      </c>
      <c r="B15" s="23" t="n">
        <v>46521</v>
      </c>
      <c r="E15" s="27" t="s">
        <v>214</v>
      </c>
      <c r="F15" s="25" t="n">
        <f aca="false">B16</f>
        <v>0.038</v>
      </c>
    </row>
    <row r="16" customFormat="false" ht="15" hidden="false" customHeight="false" outlineLevel="0" collapsed="false">
      <c r="A16" s="5" t="s">
        <v>215</v>
      </c>
      <c r="B16" s="17" t="n">
        <v>0.038</v>
      </c>
      <c r="E16" s="27" t="s">
        <v>216</v>
      </c>
      <c r="F16" s="25" t="n">
        <f aca="false">B20</f>
        <v>0.0387359836901124</v>
      </c>
    </row>
    <row r="17" customFormat="false" ht="15" hidden="false" customHeight="false" outlineLevel="0" collapsed="false">
      <c r="A17" s="5" t="s">
        <v>217</v>
      </c>
      <c r="B17" s="18" t="n">
        <f aca="false">B15-B14</f>
        <v>180</v>
      </c>
      <c r="C17" s="24" t="s">
        <v>218</v>
      </c>
      <c r="E17" s="27" t="s">
        <v>219</v>
      </c>
      <c r="F17" s="25" t="n">
        <f aca="false">B22</f>
        <v>0.0392739834635859</v>
      </c>
    </row>
    <row r="18" customFormat="false" ht="15" hidden="false" customHeight="false" outlineLevel="0" collapsed="false">
      <c r="A18" s="5" t="s">
        <v>220</v>
      </c>
      <c r="B18" s="26" t="n">
        <f aca="false">TBILLPRICE(B14,B15,B16)</f>
        <v>98.1</v>
      </c>
      <c r="C18" s="24" t="s">
        <v>221</v>
      </c>
    </row>
    <row r="19" customFormat="false" ht="15" hidden="false" customHeight="false" outlineLevel="0" collapsed="false">
      <c r="A19" s="5" t="s">
        <v>222</v>
      </c>
      <c r="B19" s="20" t="n">
        <f aca="false">100*(1-B16*B17/360)</f>
        <v>98.1</v>
      </c>
      <c r="C19" s="24" t="s">
        <v>223</v>
      </c>
    </row>
    <row r="20" customFormat="false" ht="15" hidden="false" customHeight="false" outlineLevel="0" collapsed="false">
      <c r="A20" s="5" t="s">
        <v>224</v>
      </c>
      <c r="B20" s="33" t="n">
        <f aca="false">TBILLYIELD(B14,B15,B18)</f>
        <v>0.0387359836901124</v>
      </c>
      <c r="C20" s="24" t="s">
        <v>225</v>
      </c>
    </row>
    <row r="21" customFormat="false" ht="15" hidden="false" customHeight="false" outlineLevel="0" collapsed="false">
      <c r="A21" s="5" t="s">
        <v>226</v>
      </c>
      <c r="B21" s="25" t="n">
        <f aca="false">(100-B18)/B18*360/B17</f>
        <v>0.0387359836901123</v>
      </c>
      <c r="C21" s="24" t="s">
        <v>227</v>
      </c>
    </row>
    <row r="22" customFormat="false" ht="15" hidden="false" customHeight="false" outlineLevel="0" collapsed="false">
      <c r="A22" s="5" t="s">
        <v>228</v>
      </c>
      <c r="B22" s="33" t="n">
        <f aca="false">TBILLEQ(B14,B15,B16)</f>
        <v>0.0392739834635859</v>
      </c>
      <c r="C22" s="24" t="s">
        <v>229</v>
      </c>
    </row>
    <row r="23" customFormat="false" ht="15" hidden="false" customHeight="false" outlineLevel="0" collapsed="false">
      <c r="A23" s="5" t="s">
        <v>230</v>
      </c>
      <c r="B23" s="25" t="n">
        <f aca="false">(100-B18)/B18*365/B17</f>
        <v>0.039273983463586</v>
      </c>
      <c r="C23" s="24" t="s">
        <v>231</v>
      </c>
    </row>
    <row r="25" customFormat="false" ht="15" hidden="false" customHeight="false" outlineLevel="0" collapsed="false">
      <c r="A25" s="13" t="s">
        <v>232</v>
      </c>
      <c r="B25" s="14"/>
      <c r="C25" s="14"/>
    </row>
    <row r="26" customFormat="false" ht="15" hidden="false" customHeight="false" outlineLevel="0" collapsed="false">
      <c r="A26" s="5" t="s">
        <v>177</v>
      </c>
      <c r="B26" s="23" t="n">
        <v>46341</v>
      </c>
    </row>
    <row r="27" customFormat="false" ht="15" hidden="false" customHeight="false" outlineLevel="0" collapsed="false">
      <c r="A27" s="5" t="s">
        <v>64</v>
      </c>
      <c r="B27" s="23" t="n">
        <v>49902</v>
      </c>
    </row>
    <row r="28" customFormat="false" ht="15" hidden="false" customHeight="false" outlineLevel="0" collapsed="false">
      <c r="A28" s="5" t="s">
        <v>182</v>
      </c>
      <c r="B28" s="36" t="n">
        <v>0.0425</v>
      </c>
    </row>
    <row r="29" customFormat="false" ht="15" hidden="false" customHeight="false" outlineLevel="0" collapsed="false">
      <c r="A29" s="5" t="s">
        <v>233</v>
      </c>
      <c r="B29" s="37" t="n">
        <v>98.16</v>
      </c>
    </row>
    <row r="30" customFormat="false" ht="15" hidden="false" customHeight="false" outlineLevel="0" collapsed="false">
      <c r="A30" s="5" t="s">
        <v>234</v>
      </c>
      <c r="B30" s="26" t="n">
        <f aca="false">DOLLARDE(B29,32)</f>
        <v>98.5</v>
      </c>
      <c r="C30" s="24" t="s">
        <v>235</v>
      </c>
    </row>
    <row r="31" customFormat="false" ht="15" hidden="false" customHeight="false" outlineLevel="0" collapsed="false">
      <c r="A31" s="5" t="s">
        <v>236</v>
      </c>
      <c r="B31" s="33" t="n">
        <f aca="false">YIELD(B26,B27,B28,B30,100,2,1)</f>
        <v>0.0444047736369415</v>
      </c>
      <c r="C31" s="24" t="s">
        <v>237</v>
      </c>
    </row>
    <row r="32" customFormat="false" ht="15" hidden="false" customHeight="false" outlineLevel="0" collapsed="false">
      <c r="A32" s="5" t="s">
        <v>238</v>
      </c>
      <c r="B32" s="20" t="n">
        <f aca="false">100*B28/2*COUPDAYBS(B26,B27,2,1)/COUPDAYS(B26,B27,2,1)</f>
        <v>1.0625</v>
      </c>
      <c r="C32" s="24" t="s">
        <v>239</v>
      </c>
    </row>
    <row r="33" customFormat="false" ht="15" hidden="false" customHeight="false" outlineLevel="0" collapsed="false">
      <c r="A33" s="5" t="s">
        <v>240</v>
      </c>
      <c r="B33" s="26" t="n">
        <f aca="false">B30+B32</f>
        <v>99.5625</v>
      </c>
      <c r="C33" s="24" t="s">
        <v>241</v>
      </c>
    </row>
    <row r="35" customFormat="false" ht="15" hidden="false" customHeight="false" outlineLevel="0" collapsed="false">
      <c r="A35" s="13" t="s">
        <v>242</v>
      </c>
      <c r="B35" s="14"/>
      <c r="C35" s="14"/>
    </row>
    <row r="36" customFormat="false" ht="15" hidden="false" customHeight="false" outlineLevel="0" collapsed="false">
      <c r="A36" s="5" t="s">
        <v>177</v>
      </c>
      <c r="B36" s="23" t="n">
        <v>46341</v>
      </c>
    </row>
    <row r="37" customFormat="false" ht="15" hidden="false" customHeight="false" outlineLevel="0" collapsed="false">
      <c r="A37" s="5" t="s">
        <v>64</v>
      </c>
      <c r="B37" s="23" t="n">
        <v>57207</v>
      </c>
    </row>
    <row r="38" customFormat="false" ht="15" hidden="false" customHeight="false" outlineLevel="0" collapsed="false">
      <c r="A38" s="5" t="s">
        <v>182</v>
      </c>
      <c r="B38" s="36" t="n">
        <v>0.04625</v>
      </c>
    </row>
    <row r="39" customFormat="false" ht="15" hidden="false" customHeight="false" outlineLevel="0" collapsed="false">
      <c r="A39" s="5" t="s">
        <v>243</v>
      </c>
      <c r="B39" s="37" t="n">
        <v>95.08</v>
      </c>
    </row>
    <row r="40" customFormat="false" ht="15" hidden="false" customHeight="false" outlineLevel="0" collapsed="false">
      <c r="A40" s="5" t="s">
        <v>234</v>
      </c>
      <c r="B40" s="26" t="n">
        <f aca="false">DOLLARDE(B39,32)</f>
        <v>95.25</v>
      </c>
      <c r="C40" s="24" t="s">
        <v>244</v>
      </c>
    </row>
    <row r="41" customFormat="false" ht="15" hidden="false" customHeight="false" outlineLevel="0" collapsed="false">
      <c r="A41" s="5" t="s">
        <v>245</v>
      </c>
      <c r="B41" s="33" t="n">
        <f aca="false">YIELD(B36,B37,B38,B40,100,2,1)</f>
        <v>0.049306110988512</v>
      </c>
      <c r="C41" s="24" t="s">
        <v>246</v>
      </c>
    </row>
    <row r="42" customFormat="false" ht="15" hidden="false" customHeight="false" outlineLevel="0" collapsed="false">
      <c r="A42" s="5" t="s">
        <v>238</v>
      </c>
      <c r="B42" s="20" t="n">
        <f aca="false">100*B38/2*COUPDAYBS(B36,B37,2,1)/COUPDAYS(B36,B37,2,1)</f>
        <v>1.15625</v>
      </c>
      <c r="C42" s="24" t="s">
        <v>247</v>
      </c>
    </row>
    <row r="43" customFormat="false" ht="15" hidden="false" customHeight="false" outlineLevel="0" collapsed="false">
      <c r="A43" s="5" t="s">
        <v>240</v>
      </c>
      <c r="B43" s="26" t="n">
        <f aca="false">B40+B42</f>
        <v>96.40625</v>
      </c>
      <c r="C43" s="24" t="s">
        <v>248</v>
      </c>
    </row>
    <row r="44" customFormat="false" ht="15" hidden="false" customHeight="false" outlineLevel="0" collapsed="false">
      <c r="A44" s="5" t="s">
        <v>249</v>
      </c>
      <c r="B44" s="19" t="n">
        <f aca="false">DOLLARFR(B40,32)</f>
        <v>95.08</v>
      </c>
      <c r="C44" s="24" t="s">
        <v>250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972F"/>
    <pageSetUpPr fitToPage="true"/>
  </sheetPr>
  <dimension ref="A1:H1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4"/>
    <col collapsed="false" customWidth="true" hidden="false" outlineLevel="0" max="3" min="3" style="0" width="52"/>
    <col collapsed="false" customWidth="true" hidden="false" outlineLevel="0" max="4" min="4" style="0" width="3"/>
    <col collapsed="false" customWidth="true" hidden="false" outlineLevel="0" max="5" min="5" style="0" width="14"/>
    <col collapsed="false" customWidth="true" hidden="false" outlineLevel="0" max="8" min="6" style="0" width="12"/>
  </cols>
  <sheetData>
    <row r="1" customFormat="false" ht="19.7" hidden="false" customHeight="false" outlineLevel="0" collapsed="false">
      <c r="A1" s="12" t="s">
        <v>251</v>
      </c>
    </row>
    <row r="2" customFormat="false" ht="15" hidden="false" customHeight="false" outlineLevel="0" collapsed="false">
      <c r="A2" s="2" t="s">
        <v>252</v>
      </c>
    </row>
    <row r="4" customFormat="false" ht="15" hidden="false" customHeight="false" outlineLevel="0" collapsed="false">
      <c r="A4" s="13" t="s">
        <v>52</v>
      </c>
      <c r="B4" s="14"/>
      <c r="C4" s="14"/>
      <c r="E4" s="3" t="s">
        <v>253</v>
      </c>
    </row>
    <row r="5" customFormat="false" ht="15" hidden="false" customHeight="false" outlineLevel="0" collapsed="false">
      <c r="A5" s="5" t="s">
        <v>177</v>
      </c>
      <c r="B5" s="23" t="n">
        <v>46341</v>
      </c>
    </row>
    <row r="6" customFormat="false" ht="15" hidden="false" customHeight="false" outlineLevel="0" collapsed="false">
      <c r="A6" s="5" t="s">
        <v>64</v>
      </c>
      <c r="B6" s="23" t="n">
        <v>49902</v>
      </c>
    </row>
    <row r="7" customFormat="false" ht="15" hidden="false" customHeight="false" outlineLevel="0" collapsed="false">
      <c r="A7" s="5" t="s">
        <v>182</v>
      </c>
      <c r="B7" s="17" t="n">
        <v>0.07</v>
      </c>
    </row>
    <row r="8" customFormat="false" ht="15" hidden="false" customHeight="false" outlineLevel="0" collapsed="false">
      <c r="A8" s="5" t="s">
        <v>254</v>
      </c>
      <c r="B8" s="17" t="n">
        <v>0.075</v>
      </c>
    </row>
    <row r="9" customFormat="false" ht="15" hidden="false" customHeight="false" outlineLevel="0" collapsed="false">
      <c r="A9" s="5" t="s">
        <v>184</v>
      </c>
      <c r="B9" s="22" t="n">
        <v>2</v>
      </c>
    </row>
    <row r="10" customFormat="false" ht="15" hidden="false" customHeight="false" outlineLevel="0" collapsed="false">
      <c r="A10" s="5" t="s">
        <v>255</v>
      </c>
      <c r="B10" s="22" t="n">
        <v>0</v>
      </c>
    </row>
    <row r="12" customFormat="false" ht="15" hidden="false" customHeight="false" outlineLevel="0" collapsed="false">
      <c r="A12" s="13" t="s">
        <v>256</v>
      </c>
      <c r="B12" s="14"/>
      <c r="C12" s="14"/>
    </row>
    <row r="13" customFormat="false" ht="15" hidden="false" customHeight="false" outlineLevel="0" collapsed="false">
      <c r="A13" s="5" t="s">
        <v>257</v>
      </c>
      <c r="B13" s="35" t="n">
        <f aca="false">COUPPCD(B5,B6,B9,B10)</f>
        <v>46249</v>
      </c>
      <c r="C13" s="24" t="s">
        <v>258</v>
      </c>
    </row>
    <row r="14" customFormat="false" ht="15" hidden="false" customHeight="false" outlineLevel="0" collapsed="false">
      <c r="A14" s="5" t="s">
        <v>259</v>
      </c>
      <c r="B14" s="35" t="n">
        <f aca="false">COUPNCD(B5,B6,B9,B10)</f>
        <v>46433</v>
      </c>
      <c r="C14" s="24" t="s">
        <v>260</v>
      </c>
    </row>
    <row r="15" customFormat="false" ht="15" hidden="false" customHeight="false" outlineLevel="0" collapsed="false">
      <c r="A15" s="5" t="s">
        <v>261</v>
      </c>
      <c r="B15" s="18" t="n">
        <f aca="false">COUPDAYBS(B5,B6,B9,B10)</f>
        <v>90</v>
      </c>
      <c r="C15" s="24" t="s">
        <v>262</v>
      </c>
    </row>
    <row r="16" customFormat="false" ht="15" hidden="false" customHeight="false" outlineLevel="0" collapsed="false">
      <c r="A16" s="5" t="s">
        <v>263</v>
      </c>
      <c r="B16" s="18" t="n">
        <f aca="false">COUPDAYS(B5,B6,B9,B10)</f>
        <v>180</v>
      </c>
      <c r="C16" s="24" t="s">
        <v>264</v>
      </c>
    </row>
    <row r="17" customFormat="false" ht="15" hidden="false" customHeight="false" outlineLevel="0" collapsed="false">
      <c r="A17" s="5" t="s">
        <v>265</v>
      </c>
      <c r="B17" s="18" t="n">
        <f aca="false">COUPDAYSNC(B5,B6,B9,B10)</f>
        <v>90</v>
      </c>
      <c r="C17" s="24" t="s">
        <v>266</v>
      </c>
    </row>
    <row r="18" customFormat="false" ht="15" hidden="false" customHeight="false" outlineLevel="0" collapsed="false">
      <c r="A18" s="5" t="s">
        <v>267</v>
      </c>
      <c r="B18" s="18" t="n">
        <f aca="false">COUPNUM(B5,B6,B9,B10)</f>
        <v>20</v>
      </c>
      <c r="C18" s="24" t="s">
        <v>268</v>
      </c>
    </row>
    <row r="20" customFormat="false" ht="15" hidden="false" customHeight="false" outlineLevel="0" collapsed="false">
      <c r="A20" s="13" t="s">
        <v>269</v>
      </c>
      <c r="B20" s="14"/>
      <c r="C20" s="14"/>
    </row>
    <row r="21" customFormat="false" ht="15" hidden="false" customHeight="false" outlineLevel="0" collapsed="false">
      <c r="A21" s="5" t="s">
        <v>270</v>
      </c>
      <c r="B21" s="26" t="n">
        <f aca="false">100*B7/B9*B15/B16</f>
        <v>1.75</v>
      </c>
      <c r="C21" s="24" t="s">
        <v>271</v>
      </c>
    </row>
    <row r="22" customFormat="false" ht="15" hidden="false" customHeight="false" outlineLevel="0" collapsed="false">
      <c r="A22" s="5" t="s">
        <v>272</v>
      </c>
      <c r="B22" s="20" t="n">
        <f aca="false">ACCRINT(B13,B14,B5,B7,100,B9,B10)</f>
        <v>1.75</v>
      </c>
      <c r="C22" s="24" t="s">
        <v>273</v>
      </c>
    </row>
    <row r="23" customFormat="false" ht="15" hidden="false" customHeight="false" outlineLevel="0" collapsed="false">
      <c r="A23" s="5" t="s">
        <v>274</v>
      </c>
      <c r="B23" s="26" t="n">
        <f aca="false">PRICE(B5,B6,B7,B8,100,B9,B10)</f>
        <v>96.569153911549</v>
      </c>
      <c r="C23" s="24" t="s">
        <v>275</v>
      </c>
    </row>
    <row r="24" customFormat="false" ht="15" hidden="false" customHeight="false" outlineLevel="0" collapsed="false">
      <c r="A24" s="5" t="s">
        <v>276</v>
      </c>
      <c r="B24" s="26" t="n">
        <f aca="false">B23+B21</f>
        <v>98.319153911549</v>
      </c>
      <c r="C24" s="24" t="s">
        <v>277</v>
      </c>
    </row>
    <row r="25" customFormat="false" ht="15" hidden="false" customHeight="false" outlineLevel="0" collapsed="false">
      <c r="A25" s="5" t="s">
        <v>278</v>
      </c>
      <c r="B25" s="20" t="n">
        <f aca="false">SUM(H29:H48)</f>
        <v>98.319153911549</v>
      </c>
      <c r="C25" s="24" t="s">
        <v>279</v>
      </c>
    </row>
    <row r="26" customFormat="false" ht="15" hidden="false" customHeight="false" outlineLevel="0" collapsed="false">
      <c r="A26" s="5" t="s">
        <v>280</v>
      </c>
      <c r="B26" s="21" t="n">
        <f aca="false">B17/B16</f>
        <v>0.5</v>
      </c>
      <c r="C26" s="24" t="s">
        <v>281</v>
      </c>
    </row>
    <row r="28" customFormat="false" ht="30" hidden="false" customHeight="true" outlineLevel="0" collapsed="false">
      <c r="E28" s="16" t="s">
        <v>282</v>
      </c>
      <c r="F28" s="16" t="s">
        <v>283</v>
      </c>
      <c r="G28" s="16" t="s">
        <v>56</v>
      </c>
      <c r="H28" s="16" t="s">
        <v>284</v>
      </c>
    </row>
    <row r="29" customFormat="false" ht="15" hidden="false" customHeight="false" outlineLevel="0" collapsed="false">
      <c r="E29" s="18" t="n">
        <v>1</v>
      </c>
      <c r="F29" s="20" t="n">
        <f aca="false">E29-1+$B$26</f>
        <v>0.5</v>
      </c>
      <c r="G29" s="20" t="n">
        <f aca="false">IF(E29&lt;=$B$18,100*$B$7/$B$9+IF(E29=$B$18,100,0),0)</f>
        <v>3.5</v>
      </c>
      <c r="H29" s="20" t="n">
        <f aca="false">G29/(1+$B$8/$B$9)^F29</f>
        <v>3.43616485571671</v>
      </c>
    </row>
    <row r="30" customFormat="false" ht="15" hidden="false" customHeight="false" outlineLevel="0" collapsed="false">
      <c r="E30" s="18" t="n">
        <v>2</v>
      </c>
      <c r="F30" s="20" t="n">
        <f aca="false">E30-1+$B$26</f>
        <v>1.5</v>
      </c>
      <c r="G30" s="20" t="n">
        <f aca="false">IF(E30&lt;=$B$18,100*$B$7/$B$9+IF(E30=$B$18,100,0),0)</f>
        <v>3.5</v>
      </c>
      <c r="H30" s="20" t="n">
        <f aca="false">G30/(1+$B$8/$B$9)^F30</f>
        <v>3.31196612599201</v>
      </c>
    </row>
    <row r="31" customFormat="false" ht="15" hidden="false" customHeight="false" outlineLevel="0" collapsed="false">
      <c r="E31" s="18" t="n">
        <v>3</v>
      </c>
      <c r="F31" s="20" t="n">
        <f aca="false">E31-1+$B$26</f>
        <v>2.5</v>
      </c>
      <c r="G31" s="20" t="n">
        <f aca="false">IF(E31&lt;=$B$18,100*$B$7/$B$9+IF(E31=$B$18,100,0),0)</f>
        <v>3.5</v>
      </c>
      <c r="H31" s="20" t="n">
        <f aca="false">G31/(1+$B$8/$B$9)^F31</f>
        <v>3.19225650698025</v>
      </c>
    </row>
    <row r="32" customFormat="false" ht="15" hidden="false" customHeight="false" outlineLevel="0" collapsed="false">
      <c r="E32" s="18" t="n">
        <v>4</v>
      </c>
      <c r="F32" s="20" t="n">
        <f aca="false">E32-1+$B$26</f>
        <v>3.5</v>
      </c>
      <c r="G32" s="20" t="n">
        <f aca="false">IF(E32&lt;=$B$18,100*$B$7/$B$9+IF(E32=$B$18,100,0),0)</f>
        <v>3.5</v>
      </c>
      <c r="H32" s="20" t="n">
        <f aca="false">G32/(1+$B$8/$B$9)^F32</f>
        <v>3.07687374166771</v>
      </c>
    </row>
    <row r="33" customFormat="false" ht="15" hidden="false" customHeight="false" outlineLevel="0" collapsed="false">
      <c r="E33" s="18" t="n">
        <v>5</v>
      </c>
      <c r="F33" s="20" t="n">
        <f aca="false">E33-1+$B$26</f>
        <v>4.5</v>
      </c>
      <c r="G33" s="20" t="n">
        <f aca="false">IF(E33&lt;=$B$18,100*$B$7/$B$9+IF(E33=$B$18,100,0),0)</f>
        <v>3.5</v>
      </c>
      <c r="H33" s="20" t="n">
        <f aca="false">G33/(1+$B$8/$B$9)^F33</f>
        <v>2.96566143775201</v>
      </c>
    </row>
    <row r="34" customFormat="false" ht="15" hidden="false" customHeight="false" outlineLevel="0" collapsed="false">
      <c r="E34" s="18" t="n">
        <v>6</v>
      </c>
      <c r="F34" s="20" t="n">
        <f aca="false">E34-1+$B$26</f>
        <v>5.5</v>
      </c>
      <c r="G34" s="20" t="n">
        <f aca="false">IF(E34&lt;=$B$18,100*$B$7/$B$9+IF(E34=$B$18,100,0),0)</f>
        <v>3.5</v>
      </c>
      <c r="H34" s="20" t="n">
        <f aca="false">G34/(1+$B$8/$B$9)^F34</f>
        <v>2.85846885566459</v>
      </c>
    </row>
    <row r="35" customFormat="false" ht="15" hidden="false" customHeight="false" outlineLevel="0" collapsed="false">
      <c r="E35" s="18" t="n">
        <v>7</v>
      </c>
      <c r="F35" s="20" t="n">
        <f aca="false">E35-1+$B$26</f>
        <v>6.5</v>
      </c>
      <c r="G35" s="20" t="n">
        <f aca="false">IF(E35&lt;=$B$18,100*$B$7/$B$9+IF(E35=$B$18,100,0),0)</f>
        <v>3.5</v>
      </c>
      <c r="H35" s="20" t="n">
        <f aca="false">G35/(1+$B$8/$B$9)^F35</f>
        <v>2.75515070425503</v>
      </c>
    </row>
    <row r="36" customFormat="false" ht="15" hidden="false" customHeight="false" outlineLevel="0" collapsed="false">
      <c r="E36" s="18" t="n">
        <v>8</v>
      </c>
      <c r="F36" s="20" t="n">
        <f aca="false">E36-1+$B$26</f>
        <v>7.5</v>
      </c>
      <c r="G36" s="20" t="n">
        <f aca="false">IF(E36&lt;=$B$18,100*$B$7/$B$9+IF(E36=$B$18,100,0),0)</f>
        <v>3.5</v>
      </c>
      <c r="H36" s="20" t="n">
        <f aca="false">G36/(1+$B$8/$B$9)^F36</f>
        <v>2.65556694386027</v>
      </c>
    </row>
    <row r="37" customFormat="false" ht="15" hidden="false" customHeight="false" outlineLevel="0" collapsed="false">
      <c r="E37" s="18" t="n">
        <v>9</v>
      </c>
      <c r="F37" s="20" t="n">
        <f aca="false">E37-1+$B$26</f>
        <v>8.5</v>
      </c>
      <c r="G37" s="20" t="n">
        <f aca="false">IF(E37&lt;=$B$18,100*$B$7/$B$9+IF(E37=$B$18,100,0),0)</f>
        <v>3.5</v>
      </c>
      <c r="H37" s="20" t="n">
        <f aca="false">G37/(1+$B$8/$B$9)^F37</f>
        <v>2.55958259649182</v>
      </c>
    </row>
    <row r="38" customFormat="false" ht="15" hidden="false" customHeight="false" outlineLevel="0" collapsed="false">
      <c r="E38" s="18" t="n">
        <v>10</v>
      </c>
      <c r="F38" s="20" t="n">
        <f aca="false">E38-1+$B$26</f>
        <v>9.5</v>
      </c>
      <c r="G38" s="20" t="n">
        <f aca="false">IF(E38&lt;=$B$18,100*$B$7/$B$9+IF(E38=$B$18,100,0),0)</f>
        <v>3.5</v>
      </c>
      <c r="H38" s="20" t="n">
        <f aca="false">G38/(1+$B$8/$B$9)^F38</f>
        <v>2.46706756288368</v>
      </c>
    </row>
    <row r="39" customFormat="false" ht="15" hidden="false" customHeight="false" outlineLevel="0" collapsed="false">
      <c r="E39" s="18" t="n">
        <v>11</v>
      </c>
      <c r="F39" s="20" t="n">
        <f aca="false">E39-1+$B$26</f>
        <v>10.5</v>
      </c>
      <c r="G39" s="20" t="n">
        <f aca="false">IF(E39&lt;=$B$18,100*$B$7/$B$9+IF(E39=$B$18,100,0),0)</f>
        <v>3.5</v>
      </c>
      <c r="H39" s="20" t="n">
        <f aca="false">G39/(1+$B$8/$B$9)^F39</f>
        <v>2.37789644615295</v>
      </c>
    </row>
    <row r="40" customFormat="false" ht="15" hidden="false" customHeight="false" outlineLevel="0" collapsed="false">
      <c r="E40" s="18" t="n">
        <v>12</v>
      </c>
      <c r="F40" s="20" t="n">
        <f aca="false">E40-1+$B$26</f>
        <v>11.5</v>
      </c>
      <c r="G40" s="20" t="n">
        <f aca="false">IF(E40&lt;=$B$18,100*$B$7/$B$9+IF(E40=$B$18,100,0),0)</f>
        <v>3.5</v>
      </c>
      <c r="H40" s="20" t="n">
        <f aca="false">G40/(1+$B$8/$B$9)^F40</f>
        <v>2.29194838183417</v>
      </c>
    </row>
    <row r="41" customFormat="false" ht="15" hidden="false" customHeight="false" outlineLevel="0" collapsed="false">
      <c r="E41" s="18" t="n">
        <v>13</v>
      </c>
      <c r="F41" s="20" t="n">
        <f aca="false">E41-1+$B$26</f>
        <v>12.5</v>
      </c>
      <c r="G41" s="20" t="n">
        <f aca="false">IF(E41&lt;=$B$18,100*$B$7/$B$9+IF(E41=$B$18,100,0),0)</f>
        <v>3.5</v>
      </c>
      <c r="H41" s="20" t="n">
        <f aca="false">G41/(1+$B$8/$B$9)^F41</f>
        <v>2.20910687405703</v>
      </c>
    </row>
    <row r="42" customFormat="false" ht="15" hidden="false" customHeight="false" outlineLevel="0" collapsed="false">
      <c r="E42" s="18" t="n">
        <v>14</v>
      </c>
      <c r="F42" s="20" t="n">
        <f aca="false">E42-1+$B$26</f>
        <v>13.5</v>
      </c>
      <c r="G42" s="20" t="n">
        <f aca="false">IF(E42&lt;=$B$18,100*$B$7/$B$9+IF(E42=$B$18,100,0),0)</f>
        <v>3.5</v>
      </c>
      <c r="H42" s="20" t="n">
        <f aca="false">G42/(1+$B$8/$B$9)^F42</f>
        <v>2.12925963764533</v>
      </c>
    </row>
    <row r="43" customFormat="false" ht="15" hidden="false" customHeight="false" outlineLevel="0" collapsed="false">
      <c r="E43" s="18" t="n">
        <v>15</v>
      </c>
      <c r="F43" s="20" t="n">
        <f aca="false">E43-1+$B$26</f>
        <v>14.5</v>
      </c>
      <c r="G43" s="20" t="n">
        <f aca="false">IF(E43&lt;=$B$18,100*$B$7/$B$9+IF(E43=$B$18,100,0),0)</f>
        <v>3.5</v>
      </c>
      <c r="H43" s="20" t="n">
        <f aca="false">G43/(1+$B$8/$B$9)^F43</f>
        <v>2.05229844592321</v>
      </c>
    </row>
    <row r="44" customFormat="false" ht="15" hidden="false" customHeight="false" outlineLevel="0" collapsed="false">
      <c r="E44" s="18" t="n">
        <v>16</v>
      </c>
      <c r="F44" s="20" t="n">
        <f aca="false">E44-1+$B$26</f>
        <v>15.5</v>
      </c>
      <c r="G44" s="20" t="n">
        <f aca="false">IF(E44&lt;=$B$18,100*$B$7/$B$9+IF(E44=$B$18,100,0),0)</f>
        <v>3.5</v>
      </c>
      <c r="H44" s="20" t="n">
        <f aca="false">G44/(1+$B$8/$B$9)^F44</f>
        <v>1.97811898402237</v>
      </c>
    </row>
    <row r="45" customFormat="false" ht="15" hidden="false" customHeight="false" outlineLevel="0" collapsed="false">
      <c r="E45" s="18" t="n">
        <v>17</v>
      </c>
      <c r="F45" s="20" t="n">
        <f aca="false">E45-1+$B$26</f>
        <v>16.5</v>
      </c>
      <c r="G45" s="20" t="n">
        <f aca="false">IF(E45&lt;=$B$18,100*$B$7/$B$9+IF(E45=$B$18,100,0),0)</f>
        <v>3.5</v>
      </c>
      <c r="H45" s="20" t="n">
        <f aca="false">G45/(1+$B$8/$B$9)^F45</f>
        <v>1.90662070749144</v>
      </c>
    </row>
    <row r="46" customFormat="false" ht="15" hidden="false" customHeight="false" outlineLevel="0" collapsed="false">
      <c r="E46" s="18" t="n">
        <v>18</v>
      </c>
      <c r="F46" s="20" t="n">
        <f aca="false">E46-1+$B$26</f>
        <v>17.5</v>
      </c>
      <c r="G46" s="20" t="n">
        <f aca="false">IF(E46&lt;=$B$18,100*$B$7/$B$9+IF(E46=$B$18,100,0),0)</f>
        <v>3.5</v>
      </c>
      <c r="H46" s="20" t="n">
        <f aca="false">G46/(1+$B$8/$B$9)^F46</f>
        <v>1.83770670601584</v>
      </c>
    </row>
    <row r="47" customFormat="false" ht="15" hidden="false" customHeight="false" outlineLevel="0" collapsed="false">
      <c r="E47" s="18" t="n">
        <v>19</v>
      </c>
      <c r="F47" s="20" t="n">
        <f aca="false">E47-1+$B$26</f>
        <v>18.5</v>
      </c>
      <c r="G47" s="20" t="n">
        <f aca="false">IF(E47&lt;=$B$18,100*$B$7/$B$9+IF(E47=$B$18,100,0),0)</f>
        <v>3.5</v>
      </c>
      <c r="H47" s="20" t="n">
        <f aca="false">G47/(1+$B$8/$B$9)^F47</f>
        <v>1.77128357206346</v>
      </c>
    </row>
    <row r="48" customFormat="false" ht="15" hidden="false" customHeight="false" outlineLevel="0" collapsed="false">
      <c r="E48" s="18" t="n">
        <v>20</v>
      </c>
      <c r="F48" s="20" t="n">
        <f aca="false">E48-1+$B$26</f>
        <v>19.5</v>
      </c>
      <c r="G48" s="20" t="n">
        <f aca="false">IF(E48&lt;=$B$18,100*$B$7/$B$9+IF(E48=$B$18,100,0),0)</f>
        <v>103.5</v>
      </c>
      <c r="H48" s="20" t="n">
        <f aca="false">G48/(1+$B$8/$B$9)^F48</f>
        <v>50.4861548250791</v>
      </c>
    </row>
    <row r="50" customFormat="false" ht="15" hidden="false" customHeight="false" outlineLevel="0" collapsed="false">
      <c r="E50" s="3" t="s">
        <v>285</v>
      </c>
    </row>
    <row r="51" customFormat="false" ht="30" hidden="false" customHeight="true" outlineLevel="0" collapsed="false">
      <c r="E51" s="16" t="s">
        <v>286</v>
      </c>
      <c r="F51" s="16" t="s">
        <v>287</v>
      </c>
      <c r="G51" s="16" t="s">
        <v>288</v>
      </c>
      <c r="H51" s="16" t="s">
        <v>289</v>
      </c>
    </row>
    <row r="52" customFormat="false" ht="15" hidden="false" customHeight="false" outlineLevel="0" collapsed="false">
      <c r="E52" s="35" t="n">
        <v>46250</v>
      </c>
      <c r="F52" s="20" t="n">
        <f aca="false">PRICE(E52,$B$6,$B$7,$B$8,100,$B$9,$B$10)</f>
        <v>96.5262482087139</v>
      </c>
      <c r="G52" s="20" t="n">
        <f aca="false">ACCRINT(COUPPCD(E52,$B$6,$B$9,$B$10),COUPNCD(E52,$B$6,$B$9,$B$10),E52,$B$7,100,$B$9,$B$10)</f>
        <v>0.0194444444444444</v>
      </c>
      <c r="H52" s="20" t="n">
        <f aca="false">F52+G52</f>
        <v>96.5456926531584</v>
      </c>
    </row>
    <row r="53" customFormat="false" ht="15" hidden="false" customHeight="false" outlineLevel="0" collapsed="false">
      <c r="E53" s="35" t="n">
        <v>46255</v>
      </c>
      <c r="F53" s="20" t="n">
        <f aca="false">PRICE(E53,$B$6,$B$7,$B$8,100,$B$9,$B$10)</f>
        <v>96.5278051101184</v>
      </c>
      <c r="G53" s="20" t="n">
        <f aca="false">ACCRINT(COUPPCD(E53,$B$6,$B$9,$B$10),COUPNCD(E53,$B$6,$B$9,$B$10),E53,$B$7,100,$B$9,$B$10)</f>
        <v>0.116666666666667</v>
      </c>
      <c r="H53" s="20" t="n">
        <f aca="false">F53+G53</f>
        <v>96.644471776785</v>
      </c>
    </row>
    <row r="54" customFormat="false" ht="15" hidden="false" customHeight="false" outlineLevel="0" collapsed="false">
      <c r="E54" s="35" t="n">
        <v>46260</v>
      </c>
      <c r="F54" s="20" t="n">
        <f aca="false">PRICE(E54,$B$6,$B$7,$B$8,100,$B$9,$B$10)</f>
        <v>96.5294630757442</v>
      </c>
      <c r="G54" s="20" t="n">
        <f aca="false">ACCRINT(COUPPCD(E54,$B$6,$B$9,$B$10),COUPNCD(E54,$B$6,$B$9,$B$10),E54,$B$7,100,$B$9,$B$10)</f>
        <v>0.213888888888889</v>
      </c>
      <c r="H54" s="20" t="n">
        <f aca="false">F54+G54</f>
        <v>96.7433519646331</v>
      </c>
    </row>
    <row r="55" customFormat="false" ht="15" hidden="false" customHeight="false" outlineLevel="0" collapsed="false">
      <c r="E55" s="35" t="n">
        <v>46265</v>
      </c>
      <c r="F55" s="20" t="n">
        <f aca="false">PRICE(E55,$B$6,$B$7,$B$8,100,$B$9,$B$10)</f>
        <v>96.5312222089938</v>
      </c>
      <c r="G55" s="20" t="n">
        <f aca="false">ACCRINT(COUPPCD(E55,$B$6,$B$9,$B$10),COUPNCD(E55,$B$6,$B$9,$B$10),E55,$B$7,100,$B$9,$B$10)</f>
        <v>0.311111111111111</v>
      </c>
      <c r="H55" s="20" t="n">
        <f aca="false">F55+G55</f>
        <v>96.8423333201049</v>
      </c>
    </row>
    <row r="56" customFormat="false" ht="15" hidden="false" customHeight="false" outlineLevel="0" collapsed="false">
      <c r="E56" s="35" t="n">
        <v>46270</v>
      </c>
      <c r="F56" s="20" t="n">
        <f aca="false">PRICE(E56,$B$6,$B$7,$B$8,100,$B$9,$B$10)</f>
        <v>96.5327024258363</v>
      </c>
      <c r="G56" s="20" t="n">
        <f aca="false">ACCRINT(COUPPCD(E56,$B$6,$B$9,$B$10),COUPNCD(E56,$B$6,$B$9,$B$10),E56,$B$7,100,$B$9,$B$10)</f>
        <v>0.388888888888889</v>
      </c>
      <c r="H56" s="20" t="n">
        <f aca="false">F56+G56</f>
        <v>96.9215913147252</v>
      </c>
    </row>
    <row r="57" customFormat="false" ht="15" hidden="false" customHeight="false" outlineLevel="0" collapsed="false">
      <c r="E57" s="35" t="n">
        <v>46275</v>
      </c>
      <c r="F57" s="20" t="n">
        <f aca="false">PRICE(E57,$B$6,$B$7,$B$8,100,$B$9,$B$10)</f>
        <v>96.5346439217196</v>
      </c>
      <c r="G57" s="20" t="n">
        <f aca="false">ACCRINT(COUPPCD(E57,$B$6,$B$9,$B$10),COUPNCD(E57,$B$6,$B$9,$B$10),E57,$B$7,100,$B$9,$B$10)</f>
        <v>0.486111111111111</v>
      </c>
      <c r="H57" s="20" t="n">
        <f aca="false">F57+G57</f>
        <v>97.0207550328308</v>
      </c>
    </row>
    <row r="58" customFormat="false" ht="15" hidden="false" customHeight="false" outlineLevel="0" collapsed="false">
      <c r="E58" s="35" t="n">
        <v>46280</v>
      </c>
      <c r="F58" s="20" t="n">
        <f aca="false">PRICE(E58,$B$6,$B$7,$B$8,100,$B$9,$B$10)</f>
        <v>96.536686875316</v>
      </c>
      <c r="G58" s="20" t="n">
        <f aca="false">ACCRINT(COUPPCD(E58,$B$6,$B$9,$B$10),COUPNCD(E58,$B$6,$B$9,$B$10),E58,$B$7,100,$B$9,$B$10)</f>
        <v>0.583333333333333</v>
      </c>
      <c r="H58" s="20" t="n">
        <f aca="false">F58+G58</f>
        <v>97.1200202086493</v>
      </c>
    </row>
    <row r="59" customFormat="false" ht="15" hidden="false" customHeight="false" outlineLevel="0" collapsed="false">
      <c r="E59" s="35" t="n">
        <v>46285</v>
      </c>
      <c r="F59" s="20" t="n">
        <f aca="false">PRICE(E59,$B$6,$B$7,$B$8,100,$B$9,$B$10)</f>
        <v>96.53883139043</v>
      </c>
      <c r="G59" s="20" t="n">
        <f aca="false">ACCRINT(COUPPCD(E59,$B$6,$B$9,$B$10),COUPNCD(E59,$B$6,$B$9,$B$10),E59,$B$7,100,$B$9,$B$10)</f>
        <v>0.680555555555556</v>
      </c>
      <c r="H59" s="20" t="n">
        <f aca="false">F59+G59</f>
        <v>97.2193869459855</v>
      </c>
    </row>
    <row r="60" customFormat="false" ht="15" hidden="false" customHeight="false" outlineLevel="0" collapsed="false">
      <c r="E60" s="35" t="n">
        <v>46290</v>
      </c>
      <c r="F60" s="20" t="n">
        <f aca="false">PRICE(E60,$B$6,$B$7,$B$8,100,$B$9,$B$10)</f>
        <v>96.5410775709727</v>
      </c>
      <c r="G60" s="20" t="n">
        <f aca="false">ACCRINT(COUPPCD(E60,$B$6,$B$9,$B$10),COUPNCD(E60,$B$6,$B$9,$B$10),E60,$B$7,100,$B$9,$B$10)</f>
        <v>0.777777777777778</v>
      </c>
      <c r="H60" s="20" t="n">
        <f aca="false">F60+G60</f>
        <v>97.3188553487505</v>
      </c>
    </row>
    <row r="61" customFormat="false" ht="15" hidden="false" customHeight="false" outlineLevel="0" collapsed="false">
      <c r="E61" s="35" t="n">
        <v>46295</v>
      </c>
      <c r="F61" s="20" t="n">
        <f aca="false">PRICE(E61,$B$6,$B$7,$B$8,100,$B$9,$B$10)</f>
        <v>96.5434255209614</v>
      </c>
      <c r="G61" s="20" t="n">
        <f aca="false">ACCRINT(COUPPCD(E61,$B$6,$B$9,$B$10),COUPNCD(E61,$B$6,$B$9,$B$10),E61,$B$7,100,$B$9,$B$10)</f>
        <v>0.875</v>
      </c>
      <c r="H61" s="20" t="n">
        <f aca="false">F61+G61</f>
        <v>97.4184255209614</v>
      </c>
    </row>
    <row r="62" customFormat="false" ht="15" hidden="false" customHeight="false" outlineLevel="0" collapsed="false">
      <c r="E62" s="35" t="n">
        <v>46300</v>
      </c>
      <c r="F62" s="20" t="n">
        <f aca="false">PRICE(E62,$B$6,$B$7,$B$8,100,$B$9,$B$10)</f>
        <v>96.5458753445198</v>
      </c>
      <c r="G62" s="20" t="n">
        <f aca="false">ACCRINT(COUPPCD(E62,$B$6,$B$9,$B$10),COUPNCD(E62,$B$6,$B$9,$B$10),E62,$B$7,100,$B$9,$B$10)</f>
        <v>0.972222222222222</v>
      </c>
      <c r="H62" s="20" t="n">
        <f aca="false">F62+G62</f>
        <v>97.5180975667421</v>
      </c>
    </row>
    <row r="63" customFormat="false" ht="15" hidden="false" customHeight="false" outlineLevel="0" collapsed="false">
      <c r="E63" s="35" t="n">
        <v>46305</v>
      </c>
      <c r="F63" s="20" t="n">
        <f aca="false">PRICE(E63,$B$6,$B$7,$B$8,100,$B$9,$B$10)</f>
        <v>96.5484271458782</v>
      </c>
      <c r="G63" s="20" t="n">
        <f aca="false">ACCRINT(COUPPCD(E63,$B$6,$B$9,$B$10),COUPNCD(E63,$B$6,$B$9,$B$10),E63,$B$7,100,$B$9,$B$10)</f>
        <v>1.06944444444444</v>
      </c>
      <c r="H63" s="20" t="n">
        <f aca="false">F63+G63</f>
        <v>97.6178715903226</v>
      </c>
    </row>
    <row r="64" customFormat="false" ht="15" hidden="false" customHeight="false" outlineLevel="0" collapsed="false">
      <c r="E64" s="35" t="n">
        <v>46310</v>
      </c>
      <c r="F64" s="20" t="n">
        <f aca="false">PRICE(E64,$B$6,$B$7,$B$8,100,$B$9,$B$10)</f>
        <v>96.5510810293734</v>
      </c>
      <c r="G64" s="20" t="n">
        <f aca="false">ACCRINT(COUPPCD(E64,$B$6,$B$9,$B$10),COUPNCD(E64,$B$6,$B$9,$B$10),E64,$B$7,100,$B$9,$B$10)</f>
        <v>1.16666666666667</v>
      </c>
      <c r="H64" s="20" t="n">
        <f aca="false">F64+G64</f>
        <v>97.7177476960401</v>
      </c>
    </row>
    <row r="65" customFormat="false" ht="15" hidden="false" customHeight="false" outlineLevel="0" collapsed="false">
      <c r="E65" s="35" t="n">
        <v>46315</v>
      </c>
      <c r="F65" s="20" t="n">
        <f aca="false">PRICE(E65,$B$6,$B$7,$B$8,100,$B$9,$B$10)</f>
        <v>96.5538370994491</v>
      </c>
      <c r="G65" s="20" t="n">
        <f aca="false">ACCRINT(COUPPCD(E65,$B$6,$B$9,$B$10),COUPNCD(E65,$B$6,$B$9,$B$10),E65,$B$7,100,$B$9,$B$10)</f>
        <v>1.26388888888889</v>
      </c>
      <c r="H65" s="20" t="n">
        <f aca="false">F65+G65</f>
        <v>97.817725988338</v>
      </c>
    </row>
    <row r="66" customFormat="false" ht="15" hidden="false" customHeight="false" outlineLevel="0" collapsed="false">
      <c r="E66" s="35" t="n">
        <v>46320</v>
      </c>
      <c r="F66" s="20" t="n">
        <f aca="false">PRICE(E66,$B$6,$B$7,$B$8,100,$B$9,$B$10)</f>
        <v>96.5566954606558</v>
      </c>
      <c r="G66" s="20" t="n">
        <f aca="false">ACCRINT(COUPPCD(E66,$B$6,$B$9,$B$10),COUPNCD(E66,$B$6,$B$9,$B$10),E66,$B$7,100,$B$9,$B$10)</f>
        <v>1.36111111111111</v>
      </c>
      <c r="H66" s="20" t="n">
        <f aca="false">F66+G66</f>
        <v>97.9178065717669</v>
      </c>
    </row>
    <row r="67" customFormat="false" ht="15" hidden="false" customHeight="false" outlineLevel="0" collapsed="false">
      <c r="E67" s="35" t="n">
        <v>46325</v>
      </c>
      <c r="F67" s="20" t="n">
        <f aca="false">PRICE(E67,$B$6,$B$7,$B$8,100,$B$9,$B$10)</f>
        <v>96.559656217651</v>
      </c>
      <c r="G67" s="20" t="n">
        <f aca="false">ACCRINT(COUPPCD(E67,$B$6,$B$9,$B$10),COUPNCD(E67,$B$6,$B$9,$B$10),E67,$B$7,100,$B$9,$B$10)</f>
        <v>1.45833333333333</v>
      </c>
      <c r="H67" s="20" t="n">
        <f aca="false">F67+G67</f>
        <v>98.0179895509843</v>
      </c>
    </row>
    <row r="68" customFormat="false" ht="15" hidden="false" customHeight="false" outlineLevel="0" collapsed="false">
      <c r="E68" s="35" t="n">
        <v>46330</v>
      </c>
      <c r="F68" s="20" t="n">
        <f aca="false">PRICE(E68,$B$6,$B$7,$B$8,100,$B$9,$B$10)</f>
        <v>96.562098618613</v>
      </c>
      <c r="G68" s="20" t="n">
        <f aca="false">ACCRINT(COUPPCD(E68,$B$6,$B$9,$B$10),COUPNCD(E68,$B$6,$B$9,$B$10),E68,$B$7,100,$B$9,$B$10)</f>
        <v>1.53611111111111</v>
      </c>
      <c r="H68" s="20" t="n">
        <f aca="false">F68+G68</f>
        <v>98.0982097297242</v>
      </c>
    </row>
    <row r="69" customFormat="false" ht="15" hidden="false" customHeight="false" outlineLevel="0" collapsed="false">
      <c r="E69" s="35" t="n">
        <v>46335</v>
      </c>
      <c r="F69" s="20" t="n">
        <f aca="false">PRICE(E69,$B$6,$B$7,$B$8,100,$B$9,$B$10)</f>
        <v>96.5652439521062</v>
      </c>
      <c r="G69" s="20" t="n">
        <f aca="false">ACCRINT(COUPPCD(E69,$B$6,$B$9,$B$10),COUPNCD(E69,$B$6,$B$9,$B$10),E69,$B$7,100,$B$9,$B$10)</f>
        <v>1.63333333333333</v>
      </c>
      <c r="H69" s="20" t="n">
        <f aca="false">F69+G69</f>
        <v>98.1985772854395</v>
      </c>
    </row>
    <row r="70" customFormat="false" ht="15" hidden="false" customHeight="false" outlineLevel="0" collapsed="false">
      <c r="E70" s="35" t="n">
        <v>46340</v>
      </c>
      <c r="F70" s="20" t="n">
        <f aca="false">PRICE(E70,$B$6,$B$7,$B$8,100,$B$9,$B$10)</f>
        <v>96.5684919749987</v>
      </c>
      <c r="G70" s="20" t="n">
        <f aca="false">ACCRINT(COUPPCD(E70,$B$6,$B$9,$B$10),COUPNCD(E70,$B$6,$B$9,$B$10),E70,$B$7,100,$B$9,$B$10)</f>
        <v>1.73055555555556</v>
      </c>
      <c r="H70" s="20" t="n">
        <f aca="false">F70+G70</f>
        <v>98.2990475305543</v>
      </c>
    </row>
    <row r="71" customFormat="false" ht="15" hidden="false" customHeight="false" outlineLevel="0" collapsed="false">
      <c r="E71" s="35" t="n">
        <v>46345</v>
      </c>
      <c r="F71" s="20" t="n">
        <f aca="false">PRICE(E71,$B$6,$B$7,$B$8,100,$B$9,$B$10)</f>
        <v>96.5718427923557</v>
      </c>
      <c r="G71" s="20" t="n">
        <f aca="false">ACCRINT(COUPPCD(E71,$B$6,$B$9,$B$10),COUPNCD(E71,$B$6,$B$9,$B$10),E71,$B$7,100,$B$9,$B$10)</f>
        <v>1.82777777777778</v>
      </c>
      <c r="H71" s="20" t="n">
        <f aca="false">F71+G71</f>
        <v>98.3996205701335</v>
      </c>
    </row>
    <row r="72" customFormat="false" ht="15" hidden="false" customHeight="false" outlineLevel="0" collapsed="false">
      <c r="E72" s="35" t="n">
        <v>46350</v>
      </c>
      <c r="F72" s="20" t="n">
        <f aca="false">PRICE(E72,$B$6,$B$7,$B$8,100,$B$9,$B$10)</f>
        <v>96.5752965093494</v>
      </c>
      <c r="G72" s="20" t="n">
        <f aca="false">ACCRINT(COUPPCD(E72,$B$6,$B$9,$B$10),COUPNCD(E72,$B$6,$B$9,$B$10),E72,$B$7,100,$B$9,$B$10)</f>
        <v>1.925</v>
      </c>
      <c r="H72" s="20" t="n">
        <f aca="false">F72+G72</f>
        <v>98.5002965093494</v>
      </c>
    </row>
    <row r="73" customFormat="false" ht="15" hidden="false" customHeight="false" outlineLevel="0" collapsed="false">
      <c r="E73" s="35" t="n">
        <v>46355</v>
      </c>
      <c r="F73" s="20" t="n">
        <f aca="false">PRICE(E73,$B$6,$B$7,$B$8,100,$B$9,$B$10)</f>
        <v>96.57885323126</v>
      </c>
      <c r="G73" s="20" t="n">
        <f aca="false">ACCRINT(COUPPCD(E73,$B$6,$B$9,$B$10),COUPNCD(E73,$B$6,$B$9,$B$10),E73,$B$7,100,$B$9,$B$10)</f>
        <v>2.02222222222222</v>
      </c>
      <c r="H73" s="20" t="n">
        <f aca="false">F73+G73</f>
        <v>98.6010754534822</v>
      </c>
    </row>
    <row r="74" customFormat="false" ht="15" hidden="false" customHeight="false" outlineLevel="0" collapsed="false">
      <c r="E74" s="35" t="n">
        <v>46360</v>
      </c>
      <c r="F74" s="20" t="n">
        <f aca="false">PRICE(E74,$B$6,$B$7,$B$8,100,$B$9,$B$10)</f>
        <v>96.5825130634752</v>
      </c>
      <c r="G74" s="20" t="n">
        <f aca="false">ACCRINT(COUPPCD(E74,$B$6,$B$9,$B$10),COUPNCD(E74,$B$6,$B$9,$B$10),E74,$B$7,100,$B$9,$B$10)</f>
        <v>2.11944444444444</v>
      </c>
      <c r="H74" s="20" t="n">
        <f aca="false">F74+G74</f>
        <v>98.7019575079197</v>
      </c>
    </row>
    <row r="75" customFormat="false" ht="15" hidden="false" customHeight="false" outlineLevel="0" collapsed="false">
      <c r="E75" s="35" t="n">
        <v>46365</v>
      </c>
      <c r="F75" s="20" t="n">
        <f aca="false">PRICE(E75,$B$6,$B$7,$B$8,100,$B$9,$B$10)</f>
        <v>96.5862761114907</v>
      </c>
      <c r="G75" s="20" t="n">
        <f aca="false">ACCRINT(COUPPCD(E75,$B$6,$B$9,$B$10),COUPNCD(E75,$B$6,$B$9,$B$10),E75,$B$7,100,$B$9,$B$10)</f>
        <v>2.21666666666667</v>
      </c>
      <c r="H75" s="20" t="n">
        <f aca="false">F75+G75</f>
        <v>98.8029427781574</v>
      </c>
    </row>
    <row r="76" customFormat="false" ht="15" hidden="false" customHeight="false" outlineLevel="0" collapsed="false">
      <c r="E76" s="35" t="n">
        <v>46370</v>
      </c>
      <c r="F76" s="20" t="n">
        <f aca="false">PRICE(E76,$B$6,$B$7,$B$8,100,$B$9,$B$10)</f>
        <v>96.59014248091</v>
      </c>
      <c r="G76" s="20" t="n">
        <f aca="false">ACCRINT(COUPPCD(E76,$B$6,$B$9,$B$10),COUPNCD(E76,$B$6,$B$9,$B$10),E76,$B$7,100,$B$9,$B$10)</f>
        <v>2.31388888888889</v>
      </c>
      <c r="H76" s="20" t="n">
        <f aca="false">F76+G76</f>
        <v>98.9040313697989</v>
      </c>
    </row>
    <row r="77" customFormat="false" ht="15" hidden="false" customHeight="false" outlineLevel="0" collapsed="false">
      <c r="E77" s="35" t="n">
        <v>46375</v>
      </c>
      <c r="F77" s="20" t="n">
        <f aca="false">PRICE(E77,$B$6,$B$7,$B$8,100,$B$9,$B$10)</f>
        <v>96.5941122774446</v>
      </c>
      <c r="G77" s="20" t="n">
        <f aca="false">ACCRINT(COUPPCD(E77,$B$6,$B$9,$B$10),COUPNCD(E77,$B$6,$B$9,$B$10),E77,$B$7,100,$B$9,$B$10)</f>
        <v>2.41111111111111</v>
      </c>
      <c r="H77" s="20" t="n">
        <f aca="false">F77+G77</f>
        <v>99.0052233885557</v>
      </c>
    </row>
    <row r="78" customFormat="false" ht="15" hidden="false" customHeight="false" outlineLevel="0" collapsed="false">
      <c r="E78" s="35" t="n">
        <v>46380</v>
      </c>
      <c r="F78" s="20" t="n">
        <f aca="false">PRICE(E78,$B$6,$B$7,$B$8,100,$B$9,$B$10)</f>
        <v>96.5981856069143</v>
      </c>
      <c r="G78" s="20" t="n">
        <f aca="false">ACCRINT(COUPPCD(E78,$B$6,$B$9,$B$10),COUPNCD(E78,$B$6,$B$9,$B$10),E78,$B$7,100,$B$9,$B$10)</f>
        <v>2.50833333333333</v>
      </c>
      <c r="H78" s="20" t="n">
        <f aca="false">F78+G78</f>
        <v>99.1065189402477</v>
      </c>
    </row>
    <row r="79" customFormat="false" ht="15" hidden="false" customHeight="false" outlineLevel="0" collapsed="false">
      <c r="E79" s="35" t="n">
        <v>46385</v>
      </c>
      <c r="F79" s="20" t="n">
        <f aca="false">PRICE(E79,$B$6,$B$7,$B$8,100,$B$9,$B$10)</f>
        <v>96.6023625752472</v>
      </c>
      <c r="G79" s="20" t="n">
        <f aca="false">ACCRINT(COUPPCD(E79,$B$6,$B$9,$B$10),COUPNCD(E79,$B$6,$B$9,$B$10),E79,$B$7,100,$B$9,$B$10)</f>
        <v>2.60555555555556</v>
      </c>
      <c r="H79" s="20" t="n">
        <f aca="false">F79+G79</f>
        <v>99.2079181308027</v>
      </c>
    </row>
    <row r="80" customFormat="false" ht="15" hidden="false" customHeight="false" outlineLevel="0" collapsed="false">
      <c r="E80" s="35" t="n">
        <v>46390</v>
      </c>
      <c r="F80" s="20" t="n">
        <f aca="false">PRICE(E80,$B$6,$B$7,$B$8,100,$B$9,$B$10)</f>
        <v>96.6057788411476</v>
      </c>
      <c r="G80" s="20" t="n">
        <f aca="false">ACCRINT(COUPPCD(E80,$B$6,$B$9,$B$10),COUPNCD(E80,$B$6,$B$9,$B$10),E80,$B$7,100,$B$9,$B$10)</f>
        <v>2.68333333333333</v>
      </c>
      <c r="H80" s="20" t="n">
        <f aca="false">F80+G80</f>
        <v>99.2891121744809</v>
      </c>
    </row>
    <row r="81" customFormat="false" ht="15" hidden="false" customHeight="false" outlineLevel="0" collapsed="false">
      <c r="E81" s="35" t="n">
        <v>46395</v>
      </c>
      <c r="F81" s="20" t="n">
        <f aca="false">PRICE(E81,$B$6,$B$7,$B$8,100,$B$9,$B$10)</f>
        <v>96.6101426267186</v>
      </c>
      <c r="G81" s="20" t="n">
        <f aca="false">ACCRINT(COUPPCD(E81,$B$6,$B$9,$B$10),COUPNCD(E81,$B$6,$B$9,$B$10),E81,$B$7,100,$B$9,$B$10)</f>
        <v>2.78055555555556</v>
      </c>
      <c r="H81" s="20" t="n">
        <f aca="false">F81+G81</f>
        <v>99.3906981822741</v>
      </c>
    </row>
    <row r="82" customFormat="false" ht="15" hidden="false" customHeight="false" outlineLevel="0" collapsed="false">
      <c r="E82" s="35" t="n">
        <v>46400</v>
      </c>
      <c r="F82" s="20" t="n">
        <f aca="false">PRICE(E82,$B$6,$B$7,$B$8,100,$B$9,$B$10)</f>
        <v>96.614610348328</v>
      </c>
      <c r="G82" s="20" t="n">
        <f aca="false">ACCRINT(COUPPCD(E82,$B$6,$B$9,$B$10),COUPNCD(E82,$B$6,$B$9,$B$10),E82,$B$7,100,$B$9,$B$10)</f>
        <v>2.87777777777778</v>
      </c>
      <c r="H82" s="20" t="n">
        <f aca="false">F82+G82</f>
        <v>99.4923881261058</v>
      </c>
    </row>
    <row r="83" customFormat="false" ht="15" hidden="false" customHeight="false" outlineLevel="0" collapsed="false">
      <c r="E83" s="35" t="n">
        <v>46405</v>
      </c>
      <c r="F83" s="20" t="n">
        <f aca="false">PRICE(E83,$B$6,$B$7,$B$8,100,$B$9,$B$10)</f>
        <v>96.6191821123163</v>
      </c>
      <c r="G83" s="20" t="n">
        <f aca="false">ACCRINT(COUPPCD(E83,$B$6,$B$9,$B$10),COUPNCD(E83,$B$6,$B$9,$B$10),E83,$B$7,100,$B$9,$B$10)</f>
        <v>2.975</v>
      </c>
      <c r="H83" s="20" t="n">
        <f aca="false">F83+G83</f>
        <v>99.5941821123163</v>
      </c>
    </row>
    <row r="84" customFormat="false" ht="15" hidden="false" customHeight="false" outlineLevel="0" collapsed="false">
      <c r="E84" s="35" t="n">
        <v>46410</v>
      </c>
      <c r="F84" s="20" t="n">
        <f aca="false">PRICE(E84,$B$6,$B$7,$B$8,100,$B$9,$B$10)</f>
        <v>96.6238580251326</v>
      </c>
      <c r="G84" s="20" t="n">
        <f aca="false">ACCRINT(COUPPCD(E84,$B$6,$B$9,$B$10),COUPNCD(E84,$B$6,$B$9,$B$10),E84,$B$7,100,$B$9,$B$10)</f>
        <v>3.07222222222222</v>
      </c>
      <c r="H84" s="20" t="n">
        <f aca="false">F84+G84</f>
        <v>99.6960802473548</v>
      </c>
    </row>
    <row r="85" customFormat="false" ht="15" hidden="false" customHeight="false" outlineLevel="0" collapsed="false">
      <c r="E85" s="35" t="n">
        <v>46415</v>
      </c>
      <c r="F85" s="20" t="n">
        <f aca="false">PRICE(E85,$B$6,$B$7,$B$8,100,$B$9,$B$10)</f>
        <v>96.6286381933353</v>
      </c>
      <c r="G85" s="20" t="n">
        <f aca="false">ACCRINT(COUPPCD(E85,$B$6,$B$9,$B$10),COUPNCD(E85,$B$6,$B$9,$B$10),E85,$B$7,100,$B$9,$B$10)</f>
        <v>3.16944444444444</v>
      </c>
      <c r="H85" s="20" t="n">
        <f aca="false">F85+G85</f>
        <v>99.7980826377797</v>
      </c>
    </row>
    <row r="86" customFormat="false" ht="15" hidden="false" customHeight="false" outlineLevel="0" collapsed="false">
      <c r="E86" s="35" t="n">
        <v>46420</v>
      </c>
      <c r="F86" s="20" t="n">
        <f aca="false">PRICE(E86,$B$6,$B$7,$B$8,100,$B$9,$B$10)</f>
        <v>96.6325374634521</v>
      </c>
      <c r="G86" s="20" t="n">
        <f aca="false">ACCRINT(COUPPCD(E86,$B$6,$B$9,$B$10),COUPNCD(E86,$B$6,$B$9,$B$10),E86,$B$7,100,$B$9,$B$10)</f>
        <v>3.24722222222222</v>
      </c>
      <c r="H86" s="20" t="n">
        <f aca="false">F86+G86</f>
        <v>99.8797596856743</v>
      </c>
    </row>
    <row r="87" customFormat="false" ht="15" hidden="false" customHeight="false" outlineLevel="0" collapsed="false">
      <c r="E87" s="35" t="n">
        <v>46425</v>
      </c>
      <c r="F87" s="20" t="n">
        <f aca="false">PRICE(E87,$B$6,$B$7,$B$8,100,$B$9,$B$10)</f>
        <v>96.6375055602246</v>
      </c>
      <c r="G87" s="20" t="n">
        <f aca="false">ACCRINT(COUPPCD(E87,$B$6,$B$9,$B$10),COUPNCD(E87,$B$6,$B$9,$B$10),E87,$B$7,100,$B$9,$B$10)</f>
        <v>3.34444444444445</v>
      </c>
      <c r="H87" s="20" t="n">
        <f aca="false">F87+G87</f>
        <v>99.9819500046691</v>
      </c>
    </row>
    <row r="88" customFormat="false" ht="15" hidden="false" customHeight="false" outlineLevel="0" collapsed="false">
      <c r="E88" s="35" t="n">
        <v>46430</v>
      </c>
      <c r="F88" s="20" t="n">
        <f aca="false">PRICE(E88,$B$6,$B$7,$B$8,100,$B$9,$B$10)</f>
        <v>96.6425782113265</v>
      </c>
      <c r="G88" s="20" t="n">
        <f aca="false">ACCRINT(COUPPCD(E88,$B$6,$B$9,$B$10),COUPNCD(E88,$B$6,$B$9,$B$10),E88,$B$7,100,$B$9,$B$10)</f>
        <v>3.44166666666667</v>
      </c>
      <c r="H88" s="20" t="n">
        <f aca="false">F88+G88</f>
        <v>100.084244877993</v>
      </c>
    </row>
    <row r="89" customFormat="false" ht="15" hidden="false" customHeight="false" outlineLevel="0" collapsed="false">
      <c r="E89" s="35" t="n">
        <v>46435</v>
      </c>
      <c r="F89" s="20" t="n">
        <f aca="false">PRICE(E89,$B$6,$B$7,$B$8,100,$B$9,$B$10)</f>
        <v>96.6463235763757</v>
      </c>
      <c r="G89" s="20" t="n">
        <f aca="false">ACCRINT(COUPPCD(E89,$B$6,$B$9,$B$10),COUPNCD(E89,$B$6,$B$9,$B$10),E89,$B$7,100,$B$9,$B$10)</f>
        <v>0.0388888888888889</v>
      </c>
      <c r="H89" s="20" t="n">
        <f aca="false">F89+G89</f>
        <v>96.6852124652646</v>
      </c>
    </row>
    <row r="90" customFormat="false" ht="15" hidden="false" customHeight="false" outlineLevel="0" collapsed="false">
      <c r="E90" s="35" t="n">
        <v>46440</v>
      </c>
      <c r="F90" s="20" t="n">
        <f aca="false">PRICE(E90,$B$6,$B$7,$B$8,100,$B$9,$B$10)</f>
        <v>96.648023225161</v>
      </c>
      <c r="G90" s="20" t="n">
        <f aca="false">ACCRINT(COUPPCD(E90,$B$6,$B$9,$B$10),COUPNCD(E90,$B$6,$B$9,$B$10),E90,$B$7,100,$B$9,$B$10)</f>
        <v>0.136111111111111</v>
      </c>
      <c r="H90" s="20" t="n">
        <f aca="false">F90+G90</f>
        <v>96.7841343362721</v>
      </c>
    </row>
    <row r="91" customFormat="false" ht="15" hidden="false" customHeight="false" outlineLevel="0" collapsed="false">
      <c r="E91" s="35" t="n">
        <v>46445</v>
      </c>
      <c r="F91" s="20" t="n">
        <f aca="false">PRICE(E91,$B$6,$B$7,$B$8,100,$B$9,$B$10)</f>
        <v>96.6498240842175</v>
      </c>
      <c r="G91" s="20" t="n">
        <f aca="false">ACCRINT(COUPPCD(E91,$B$6,$B$9,$B$10),COUPNCD(E91,$B$6,$B$9,$B$10),E91,$B$7,100,$B$9,$B$10)</f>
        <v>0.233333333333333</v>
      </c>
      <c r="H91" s="20" t="n">
        <f aca="false">F91+G91</f>
        <v>96.8831574175508</v>
      </c>
    </row>
    <row r="92" customFormat="false" ht="15" hidden="false" customHeight="false" outlineLevel="0" collapsed="false">
      <c r="E92" s="35" t="n">
        <v>46450</v>
      </c>
      <c r="F92" s="20" t="n">
        <f aca="false">PRICE(E92,$B$6,$B$7,$B$8,100,$B$9,$B$10)</f>
        <v>96.6525155173344</v>
      </c>
      <c r="G92" s="20" t="n">
        <f aca="false">ACCRINT(COUPPCD(E92,$B$6,$B$9,$B$10),COUPNCD(E92,$B$6,$B$9,$B$10),E92,$B$7,100,$B$9,$B$10)</f>
        <v>0.330555555555556</v>
      </c>
      <c r="H92" s="20" t="n">
        <f aca="false">F92+G92</f>
        <v>96.9830710728899</v>
      </c>
    </row>
    <row r="93" customFormat="false" ht="15" hidden="false" customHeight="false" outlineLevel="0" collapsed="false">
      <c r="E93" s="35" t="n">
        <v>46455</v>
      </c>
      <c r="F93" s="20" t="n">
        <f aca="false">PRICE(E93,$B$6,$B$7,$B$8,100,$B$9,$B$10)</f>
        <v>96.6545597037337</v>
      </c>
      <c r="G93" s="20" t="n">
        <f aca="false">ACCRINT(COUPPCD(E93,$B$6,$B$9,$B$10),COUPNCD(E93,$B$6,$B$9,$B$10),E93,$B$7,100,$B$9,$B$10)</f>
        <v>0.427777777777778</v>
      </c>
      <c r="H93" s="20" t="n">
        <f aca="false">F93+G93</f>
        <v>97.0823374815115</v>
      </c>
    </row>
    <row r="94" customFormat="false" ht="15" hidden="false" customHeight="false" outlineLevel="0" collapsed="false">
      <c r="E94" s="35" t="n">
        <v>46460</v>
      </c>
      <c r="F94" s="20" t="n">
        <f aca="false">PRICE(E94,$B$6,$B$7,$B$8,100,$B$9,$B$10)</f>
        <v>96.6567054529122</v>
      </c>
      <c r="G94" s="20" t="n">
        <f aca="false">ACCRINT(COUPPCD(E94,$B$6,$B$9,$B$10),COUPNCD(E94,$B$6,$B$9,$B$10),E94,$B$7,100,$B$9,$B$10)</f>
        <v>0.525</v>
      </c>
      <c r="H94" s="20" t="n">
        <f aca="false">F94+G94</f>
        <v>97.1817054529122</v>
      </c>
    </row>
    <row r="95" customFormat="false" ht="15" hidden="false" customHeight="false" outlineLevel="0" collapsed="false">
      <c r="E95" s="35" t="n">
        <v>46465</v>
      </c>
      <c r="F95" s="20" t="n">
        <f aca="false">PRICE(E95,$B$6,$B$7,$B$8,100,$B$9,$B$10)</f>
        <v>96.6589528687819</v>
      </c>
      <c r="G95" s="20" t="n">
        <f aca="false">ACCRINT(COUPPCD(E95,$B$6,$B$9,$B$10),COUPNCD(E95,$B$6,$B$9,$B$10),E95,$B$7,100,$B$9,$B$10)</f>
        <v>0.622222222222222</v>
      </c>
      <c r="H95" s="20" t="n">
        <f aca="false">F95+G95</f>
        <v>97.2811750910041</v>
      </c>
    </row>
    <row r="96" customFormat="false" ht="15" hidden="false" customHeight="false" outlineLevel="0" collapsed="false">
      <c r="E96" s="35" t="n">
        <v>46470</v>
      </c>
      <c r="F96" s="20" t="n">
        <f aca="false">PRICE(E96,$B$6,$B$7,$B$8,100,$B$9,$B$10)</f>
        <v>96.6613020553615</v>
      </c>
      <c r="G96" s="20" t="n">
        <f aca="false">ACCRINT(COUPPCD(E96,$B$6,$B$9,$B$10),COUPNCD(E96,$B$6,$B$9,$B$10),E96,$B$7,100,$B$9,$B$10)</f>
        <v>0.719444444444445</v>
      </c>
      <c r="H96" s="20" t="n">
        <f aca="false">F96+G96</f>
        <v>97.3807464998059</v>
      </c>
    </row>
    <row r="97" customFormat="false" ht="15" hidden="false" customHeight="false" outlineLevel="0" collapsed="false">
      <c r="E97" s="35" t="n">
        <v>46475</v>
      </c>
      <c r="F97" s="20" t="n">
        <f aca="false">PRICE(E97,$B$6,$B$7,$B$8,100,$B$9,$B$10)</f>
        <v>96.663753116776</v>
      </c>
      <c r="G97" s="20" t="n">
        <f aca="false">ACCRINT(COUPPCD(E97,$B$6,$B$9,$B$10),COUPNCD(E97,$B$6,$B$9,$B$10),E97,$B$7,100,$B$9,$B$10)</f>
        <v>0.816666666666667</v>
      </c>
      <c r="H97" s="20" t="n">
        <f aca="false">F97+G97</f>
        <v>97.4804197834426</v>
      </c>
    </row>
    <row r="98" customFormat="false" ht="15" hidden="false" customHeight="false" outlineLevel="0" collapsed="false">
      <c r="E98" s="35" t="n">
        <v>46480</v>
      </c>
      <c r="F98" s="20" t="n">
        <f aca="false">PRICE(E98,$B$6,$B$7,$B$8,100,$B$9,$B$10)</f>
        <v>96.6657873858287</v>
      </c>
      <c r="G98" s="20" t="n">
        <f aca="false">ACCRINT(COUPPCD(E98,$B$6,$B$9,$B$10),COUPNCD(E98,$B$6,$B$9,$B$10),E98,$B$7,100,$B$9,$B$10)</f>
        <v>0.894444444444445</v>
      </c>
      <c r="H98" s="20" t="n">
        <f aca="false">F98+G98</f>
        <v>97.5602318302731</v>
      </c>
    </row>
    <row r="99" customFormat="false" ht="15" hidden="false" customHeight="false" outlineLevel="0" collapsed="false">
      <c r="E99" s="35" t="n">
        <v>46485</v>
      </c>
      <c r="F99" s="20" t="n">
        <f aca="false">PRICE(E99,$B$6,$B$7,$B$8,100,$B$9,$B$10)</f>
        <v>96.6684220846812</v>
      </c>
      <c r="G99" s="20" t="n">
        <f aca="false">ACCRINT(COUPPCD(E99,$B$6,$B$9,$B$10),COUPNCD(E99,$B$6,$B$9,$B$10),E99,$B$7,100,$B$9,$B$10)</f>
        <v>0.991666666666667</v>
      </c>
      <c r="H99" s="20" t="n">
        <f aca="false">F99+G99</f>
        <v>97.6600887513478</v>
      </c>
    </row>
    <row r="100" customFormat="false" ht="15" hidden="false" customHeight="false" outlineLevel="0" collapsed="false">
      <c r="E100" s="35" t="n">
        <v>46490</v>
      </c>
      <c r="F100" s="20" t="n">
        <f aca="false">PRICE(E100,$B$6,$B$7,$B$8,100,$B$9,$B$10)</f>
        <v>96.6711589504857</v>
      </c>
      <c r="G100" s="20" t="n">
        <f aca="false">ACCRINT(COUPPCD(E100,$B$6,$B$9,$B$10),COUPNCD(E100,$B$6,$B$9,$B$10),E100,$B$7,100,$B$9,$B$10)</f>
        <v>1.08888888888889</v>
      </c>
      <c r="H100" s="20" t="n">
        <f aca="false">F100+G100</f>
        <v>97.7600478393746</v>
      </c>
    </row>
    <row r="101" customFormat="false" ht="15" hidden="false" customHeight="false" outlineLevel="0" collapsed="false">
      <c r="E101" s="35" t="n">
        <v>46495</v>
      </c>
      <c r="F101" s="20" t="n">
        <f aca="false">PRICE(E101,$B$6,$B$7,$B$8,100,$B$9,$B$10)</f>
        <v>96.6739980877727</v>
      </c>
      <c r="G101" s="20" t="n">
        <f aca="false">ACCRINT(COUPPCD(E101,$B$6,$B$9,$B$10),COUPNCD(E101,$B$6,$B$9,$B$10),E101,$B$7,100,$B$9,$B$10)</f>
        <v>1.18611111111111</v>
      </c>
      <c r="H101" s="20" t="n">
        <f aca="false">F101+G101</f>
        <v>97.8601091988838</v>
      </c>
    </row>
    <row r="102" customFormat="false" ht="15" hidden="false" customHeight="false" outlineLevel="0" collapsed="false">
      <c r="E102" s="35" t="n">
        <v>46500</v>
      </c>
      <c r="F102" s="20" t="n">
        <f aca="false">PRICE(E102,$B$6,$B$7,$B$8,100,$B$9,$B$10)</f>
        <v>96.6769396011796</v>
      </c>
      <c r="G102" s="20" t="n">
        <f aca="false">ACCRINT(COUPPCD(E102,$B$6,$B$9,$B$10),COUPNCD(E102,$B$6,$B$9,$B$10),E102,$B$7,100,$B$9,$B$10)</f>
        <v>1.28333333333333</v>
      </c>
      <c r="H102" s="20" t="n">
        <f aca="false">F102+G102</f>
        <v>97.9602729345129</v>
      </c>
    </row>
    <row r="103" customFormat="false" ht="15" hidden="false" customHeight="false" outlineLevel="0" collapsed="false">
      <c r="E103" s="35" t="n">
        <v>46505</v>
      </c>
      <c r="F103" s="20" t="n">
        <f aca="false">PRICE(E103,$B$6,$B$7,$B$8,100,$B$9,$B$10)</f>
        <v>96.6799835954507</v>
      </c>
      <c r="G103" s="20" t="n">
        <f aca="false">ACCRINT(COUPPCD(E103,$B$6,$B$9,$B$10),COUPNCD(E103,$B$6,$B$9,$B$10),E103,$B$7,100,$B$9,$B$10)</f>
        <v>1.38055555555556</v>
      </c>
      <c r="H103" s="20" t="n">
        <f aca="false">F103+G103</f>
        <v>98.0605391510062</v>
      </c>
    </row>
    <row r="104" customFormat="false" ht="15" hidden="false" customHeight="false" outlineLevel="0" collapsed="false">
      <c r="E104" s="35" t="n">
        <v>46510</v>
      </c>
      <c r="F104" s="20" t="n">
        <f aca="false">PRICE(E104,$B$6,$B$7,$B$8,100,$B$9,$B$10)</f>
        <v>96.6831301754377</v>
      </c>
      <c r="G104" s="20" t="n">
        <f aca="false">ACCRINT(COUPPCD(E104,$B$6,$B$9,$B$10),COUPNCD(E104,$B$6,$B$9,$B$10),E104,$B$7,100,$B$9,$B$10)</f>
        <v>1.47777777777778</v>
      </c>
      <c r="H104" s="20" t="n">
        <f aca="false">F104+G104</f>
        <v>98.1609079532155</v>
      </c>
    </row>
    <row r="105" customFormat="false" ht="15" hidden="false" customHeight="false" outlineLevel="0" collapsed="false">
      <c r="E105" s="35" t="n">
        <v>46515</v>
      </c>
      <c r="F105" s="20" t="n">
        <f aca="false">PRICE(E105,$B$6,$B$7,$B$8,100,$B$9,$B$10)</f>
        <v>96.6863794460994</v>
      </c>
      <c r="G105" s="20" t="n">
        <f aca="false">ACCRINT(COUPPCD(E105,$B$6,$B$9,$B$10),COUPNCD(E105,$B$6,$B$9,$B$10),E105,$B$7,100,$B$9,$B$10)</f>
        <v>1.575</v>
      </c>
      <c r="H105" s="20" t="n">
        <f aca="false">F105+G105</f>
        <v>98.2613794460994</v>
      </c>
    </row>
    <row r="106" customFormat="false" ht="15" hidden="false" customHeight="false" outlineLevel="0" collapsed="false">
      <c r="E106" s="35" t="n">
        <v>46520</v>
      </c>
      <c r="F106" s="20" t="n">
        <f aca="false">PRICE(E106,$B$6,$B$7,$B$8,100,$B$9,$B$10)</f>
        <v>96.6897315125021</v>
      </c>
      <c r="G106" s="20" t="n">
        <f aca="false">ACCRINT(COUPPCD(E106,$B$6,$B$9,$B$10),COUPNCD(E106,$B$6,$B$9,$B$10),E106,$B$7,100,$B$9,$B$10)</f>
        <v>1.67222222222222</v>
      </c>
      <c r="H106" s="20" t="n">
        <f aca="false">F106+G106</f>
        <v>98.3619537347243</v>
      </c>
    </row>
    <row r="107" customFormat="false" ht="15" hidden="false" customHeight="false" outlineLevel="0" collapsed="false">
      <c r="E107" s="35" t="n">
        <v>46525</v>
      </c>
      <c r="F107" s="20" t="n">
        <f aca="false">PRICE(E107,$B$6,$B$7,$B$8,100,$B$9,$B$10)</f>
        <v>96.6931864798196</v>
      </c>
      <c r="G107" s="20" t="n">
        <f aca="false">ACCRINT(COUPPCD(E107,$B$6,$B$9,$B$10),COUPNCD(E107,$B$6,$B$9,$B$10),E107,$B$7,100,$B$9,$B$10)</f>
        <v>1.76944444444444</v>
      </c>
      <c r="H107" s="20" t="n">
        <f aca="false">F107+G107</f>
        <v>98.4626309242641</v>
      </c>
    </row>
    <row r="108" customFormat="false" ht="15" hidden="false" customHeight="false" outlineLevel="0" collapsed="false">
      <c r="E108" s="35" t="n">
        <v>46530</v>
      </c>
      <c r="F108" s="20" t="n">
        <f aca="false">PRICE(E108,$B$6,$B$7,$B$8,100,$B$9,$B$10)</f>
        <v>96.6967444533332</v>
      </c>
      <c r="G108" s="20" t="n">
        <f aca="false">ACCRINT(COUPPCD(E108,$B$6,$B$9,$B$10),COUPNCD(E108,$B$6,$B$9,$B$10),E108,$B$7,100,$B$9,$B$10)</f>
        <v>1.86666666666667</v>
      </c>
      <c r="H108" s="20" t="n">
        <f aca="false">F108+G108</f>
        <v>98.5634111199999</v>
      </c>
    </row>
    <row r="109" customFormat="false" ht="15" hidden="false" customHeight="false" outlineLevel="0" collapsed="false">
      <c r="E109" s="35" t="n">
        <v>46535</v>
      </c>
      <c r="F109" s="20" t="n">
        <f aca="false">PRICE(E109,$B$6,$B$7,$B$8,100,$B$9,$B$10)</f>
        <v>96.700405538432</v>
      </c>
      <c r="G109" s="20" t="n">
        <f aca="false">ACCRINT(COUPPCD(E109,$B$6,$B$9,$B$10),COUPNCD(E109,$B$6,$B$9,$B$10),E109,$B$7,100,$B$9,$B$10)</f>
        <v>1.96388888888889</v>
      </c>
      <c r="H109" s="20" t="n">
        <f aca="false">F109+G109</f>
        <v>98.6642944273209</v>
      </c>
    </row>
    <row r="110" customFormat="false" ht="15" hidden="false" customHeight="false" outlineLevel="0" collapsed="false">
      <c r="E110" s="35" t="n">
        <v>46540</v>
      </c>
      <c r="F110" s="20" t="n">
        <f aca="false">PRICE(E110,$B$6,$B$7,$B$8,100,$B$9,$B$10)</f>
        <v>96.7034087177427</v>
      </c>
      <c r="G110" s="20" t="n">
        <f aca="false">ACCRINT(COUPPCD(E110,$B$6,$B$9,$B$10),COUPNCD(E110,$B$6,$B$9,$B$10),E110,$B$7,100,$B$9,$B$10)</f>
        <v>2.04166666666667</v>
      </c>
      <c r="H110" s="20" t="n">
        <f aca="false">F110+G110</f>
        <v>98.7450753844094</v>
      </c>
    </row>
    <row r="111" customFormat="false" ht="15" hidden="false" customHeight="false" outlineLevel="0" collapsed="false">
      <c r="E111" s="35" t="n">
        <v>46545</v>
      </c>
      <c r="F111" s="20" t="n">
        <f aca="false">PRICE(E111,$B$6,$B$7,$B$8,100,$B$9,$B$10)</f>
        <v>96.7072556696196</v>
      </c>
      <c r="G111" s="20" t="n">
        <f aca="false">ACCRINT(COUPPCD(E111,$B$6,$B$9,$B$10),COUPNCD(E111,$B$6,$B$9,$B$10),E111,$B$7,100,$B$9,$B$10)</f>
        <v>2.13888888888889</v>
      </c>
      <c r="H111" s="20" t="n">
        <f aca="false">F111+G111</f>
        <v>98.8461445585085</v>
      </c>
    </row>
    <row r="112" customFormat="false" ht="15" hidden="false" customHeight="false" outlineLevel="0" collapsed="false">
      <c r="E112" s="35" t="n">
        <v>46550</v>
      </c>
      <c r="F112" s="20" t="n">
        <f aca="false">PRICE(E112,$B$6,$B$7,$B$8,100,$B$9,$B$10)</f>
        <v>96.7112060287451</v>
      </c>
      <c r="G112" s="20" t="n">
        <f aca="false">ACCRINT(COUPPCD(E112,$B$6,$B$9,$B$10),COUPNCD(E112,$B$6,$B$9,$B$10),E112,$B$7,100,$B$9,$B$10)</f>
        <v>2.23611111111111</v>
      </c>
      <c r="H112" s="20" t="n">
        <f aca="false">F112+G112</f>
        <v>98.9473171398562</v>
      </c>
    </row>
    <row r="113" customFormat="false" ht="15" hidden="false" customHeight="false" outlineLevel="0" collapsed="false">
      <c r="E113" s="35" t="n">
        <v>46555</v>
      </c>
      <c r="F113" s="20" t="n">
        <f aca="false">PRICE(E113,$B$6,$B$7,$B$8,100,$B$9,$B$10)</f>
        <v>96.7152599009186</v>
      </c>
      <c r="G113" s="20" t="n">
        <f aca="false">ACCRINT(COUPPCD(E113,$B$6,$B$9,$B$10),COUPNCD(E113,$B$6,$B$9,$B$10),E113,$B$7,100,$B$9,$B$10)</f>
        <v>2.33333333333333</v>
      </c>
      <c r="H113" s="20" t="n">
        <f aca="false">F113+G113</f>
        <v>99.0485932342519</v>
      </c>
    </row>
    <row r="114" customFormat="false" ht="15" hidden="false" customHeight="false" outlineLevel="0" collapsed="false">
      <c r="E114" s="35" t="n">
        <v>46560</v>
      </c>
      <c r="F114" s="20" t="n">
        <f aca="false">PRICE(E114,$B$6,$B$7,$B$8,100,$B$9,$B$10)</f>
        <v>96.7194173920478</v>
      </c>
      <c r="G114" s="20" t="n">
        <f aca="false">ACCRINT(COUPPCD(E114,$B$6,$B$9,$B$10),COUPNCD(E114,$B$6,$B$9,$B$10),E114,$B$7,100,$B$9,$B$10)</f>
        <v>2.43055555555556</v>
      </c>
      <c r="H114" s="20" t="n">
        <f aca="false">F114+G114</f>
        <v>99.1499729476034</v>
      </c>
    </row>
    <row r="115" customFormat="false" ht="15" hidden="false" customHeight="false" outlineLevel="0" collapsed="false">
      <c r="E115" s="35" t="n">
        <v>46565</v>
      </c>
      <c r="F115" s="20" t="n">
        <f aca="false">PRICE(E115,$B$6,$B$7,$B$8,100,$B$9,$B$10)</f>
        <v>96.7236786081488</v>
      </c>
      <c r="G115" s="20" t="n">
        <f aca="false">ACCRINT(COUPPCD(E115,$B$6,$B$9,$B$10),COUPNCD(E115,$B$6,$B$9,$B$10),E115,$B$7,100,$B$9,$B$10)</f>
        <v>2.52777777777778</v>
      </c>
      <c r="H115" s="20" t="n">
        <f aca="false">F115+G115</f>
        <v>99.2514563859266</v>
      </c>
    </row>
    <row r="116" customFormat="false" ht="15" hidden="false" customHeight="false" outlineLevel="0" collapsed="false">
      <c r="E116" s="35" t="n">
        <v>46570</v>
      </c>
      <c r="F116" s="20" t="n">
        <f aca="false">PRICE(E116,$B$6,$B$7,$B$8,100,$B$9,$B$10)</f>
        <v>96.7280436553459</v>
      </c>
      <c r="G116" s="20" t="n">
        <f aca="false">ACCRINT(COUPPCD(E116,$B$6,$B$9,$B$10),COUPNCD(E116,$B$6,$B$9,$B$10),E116,$B$7,100,$B$9,$B$10)</f>
        <v>2.625</v>
      </c>
      <c r="H116" s="20" t="n">
        <f aca="false">F116+G116</f>
        <v>99.3530436553459</v>
      </c>
    </row>
    <row r="117" customFormat="false" ht="15" hidden="false" customHeight="false" outlineLevel="0" collapsed="false">
      <c r="E117" s="35" t="n">
        <v>46575</v>
      </c>
      <c r="F117" s="20" t="n">
        <f aca="false">PRICE(E117,$B$6,$B$7,$B$8,100,$B$9,$B$10)</f>
        <v>96.7325126398723</v>
      </c>
      <c r="G117" s="20" t="n">
        <f aca="false">ACCRINT(COUPPCD(E117,$B$6,$B$9,$B$10),COUPNCD(E117,$B$6,$B$9,$B$10),E117,$B$7,100,$B$9,$B$10)</f>
        <v>2.72222222222222</v>
      </c>
      <c r="H117" s="20" t="n">
        <f aca="false">F117+G117</f>
        <v>99.4547348620945</v>
      </c>
    </row>
    <row r="118" customFormat="false" ht="15" hidden="false" customHeight="false" outlineLevel="0" collapsed="false">
      <c r="E118" s="35" t="n">
        <v>46580</v>
      </c>
      <c r="F118" s="20" t="n">
        <f aca="false">PRICE(E118,$B$6,$B$7,$B$8,100,$B$9,$B$10)</f>
        <v>96.7370856680696</v>
      </c>
      <c r="G118" s="20" t="n">
        <f aca="false">ACCRINT(COUPPCD(E118,$B$6,$B$9,$B$10),COUPNCD(E118,$B$6,$B$9,$B$10),E118,$B$7,100,$B$9,$B$10)</f>
        <v>2.81944444444445</v>
      </c>
      <c r="H118" s="20" t="n">
        <f aca="false">F118+G118</f>
        <v>99.556530112514</v>
      </c>
    </row>
    <row r="119" customFormat="false" ht="15" hidden="false" customHeight="false" outlineLevel="0" collapsed="false">
      <c r="E119" s="35" t="n">
        <v>46585</v>
      </c>
      <c r="F119" s="20" t="n">
        <f aca="false">PRICE(E119,$B$6,$B$7,$B$8,100,$B$9,$B$10)</f>
        <v>96.7417628463885</v>
      </c>
      <c r="G119" s="20" t="n">
        <f aca="false">ACCRINT(COUPPCD(E119,$B$6,$B$9,$B$10),COUPNCD(E119,$B$6,$B$9,$B$10),E119,$B$7,100,$B$9,$B$10)</f>
        <v>2.91666666666667</v>
      </c>
      <c r="H119" s="20" t="n">
        <f aca="false">F119+G119</f>
        <v>99.6584295130552</v>
      </c>
    </row>
    <row r="120" customFormat="false" ht="15" hidden="false" customHeight="false" outlineLevel="0" collapsed="false">
      <c r="E120" s="35" t="n">
        <v>46590</v>
      </c>
      <c r="F120" s="20" t="n">
        <f aca="false">PRICE(E120,$B$6,$B$7,$B$8,100,$B$9,$B$10)</f>
        <v>96.7465442813885</v>
      </c>
      <c r="G120" s="20" t="n">
        <f aca="false">ACCRINT(COUPPCD(E120,$B$6,$B$9,$B$10),COUPNCD(E120,$B$6,$B$9,$B$10),E120,$B$7,100,$B$9,$B$10)</f>
        <v>3.01388888888889</v>
      </c>
      <c r="H120" s="20" t="n">
        <f aca="false">F120+G120</f>
        <v>99.7604331702774</v>
      </c>
    </row>
    <row r="121" customFormat="false" ht="15" hidden="false" customHeight="false" outlineLevel="0" collapsed="false">
      <c r="E121" s="35" t="n">
        <v>46595</v>
      </c>
      <c r="F121" s="20" t="n">
        <f aca="false">PRICE(E121,$B$6,$B$7,$B$8,100,$B$9,$B$10)</f>
        <v>96.751430079738</v>
      </c>
      <c r="G121" s="20" t="n">
        <f aca="false">ACCRINT(COUPPCD(E121,$B$6,$B$9,$B$10),COUPNCD(E121,$B$6,$B$9,$B$10),E121,$B$7,100,$B$9,$B$10)</f>
        <v>3.11111111111111</v>
      </c>
      <c r="H121" s="20" t="n">
        <f aca="false">F121+G121</f>
        <v>99.8625411908491</v>
      </c>
    </row>
    <row r="122" customFormat="false" ht="15" hidden="false" customHeight="false" outlineLevel="0" collapsed="false">
      <c r="E122" s="35" t="n">
        <v>46600</v>
      </c>
      <c r="F122" s="20" t="n">
        <f aca="false">PRICE(E122,$B$6,$B$7,$B$8,100,$B$9,$B$10)</f>
        <v>96.7554139317801</v>
      </c>
      <c r="G122" s="20" t="n">
        <f aca="false">ACCRINT(COUPPCD(E122,$B$6,$B$9,$B$10),COUPNCD(E122,$B$6,$B$9,$B$10),E122,$B$7,100,$B$9,$B$10)</f>
        <v>3.18888888888889</v>
      </c>
      <c r="H122" s="20" t="n">
        <f aca="false">F122+G122</f>
        <v>99.944302820669</v>
      </c>
    </row>
    <row r="123" customFormat="false" ht="15" hidden="false" customHeight="false" outlineLevel="0" collapsed="false">
      <c r="E123" s="35" t="n">
        <v>46605</v>
      </c>
      <c r="F123" s="20" t="n">
        <f aca="false">PRICE(E123,$B$6,$B$7,$B$8,100,$B$9,$B$10)</f>
        <v>96.7604878533118</v>
      </c>
      <c r="G123" s="20" t="n">
        <f aca="false">ACCRINT(COUPPCD(E123,$B$6,$B$9,$B$10),COUPNCD(E123,$B$6,$B$9,$B$10),E123,$B$7,100,$B$9,$B$10)</f>
        <v>3.28611111111111</v>
      </c>
      <c r="H123" s="20" t="n">
        <f aca="false">F123+G123</f>
        <v>100.046598964423</v>
      </c>
    </row>
    <row r="124" customFormat="false" ht="15" hidden="false" customHeight="false" outlineLevel="0" collapsed="false">
      <c r="E124" s="35" t="n">
        <v>46610</v>
      </c>
      <c r="F124" s="20" t="n">
        <f aca="false">PRICE(E124,$B$6,$B$7,$B$8,100,$B$9,$B$10)</f>
        <v>96.7656664374457</v>
      </c>
      <c r="G124" s="20" t="n">
        <f aca="false">ACCRINT(COUPPCD(E124,$B$6,$B$9,$B$10),COUPNCD(E124,$B$6,$B$9,$B$10),E124,$B$7,100,$B$9,$B$10)</f>
        <v>3.38333333333333</v>
      </c>
      <c r="H124" s="20" t="n">
        <f aca="false">F124+G124</f>
        <v>100.148999770779</v>
      </c>
    </row>
    <row r="125" customFormat="false" ht="15" hidden="false" customHeight="false" outlineLevel="0" collapsed="false">
      <c r="E125" s="35" t="n">
        <v>46615</v>
      </c>
      <c r="F125" s="20" t="n">
        <f aca="false">PRICE(E125,$B$6,$B$7,$B$8,100,$B$9,$B$10)</f>
        <v>96.7702338908043</v>
      </c>
      <c r="G125" s="20" t="n">
        <f aca="false">ACCRINT(COUPPCD(E125,$B$6,$B$9,$B$10),COUPNCD(E125,$B$6,$B$9,$B$10),E125,$B$7,100,$B$9,$B$10)</f>
        <v>0.0194444444444444</v>
      </c>
      <c r="H125" s="20" t="n">
        <f aca="false">F125+G125</f>
        <v>96.7896783352487</v>
      </c>
    </row>
    <row r="126" customFormat="false" ht="15" hidden="false" customHeight="false" outlineLevel="0" collapsed="false">
      <c r="E126" s="35" t="n">
        <v>46620</v>
      </c>
      <c r="F126" s="20" t="n">
        <f aca="false">PRICE(E126,$B$6,$B$7,$B$8,100,$B$9,$B$10)</f>
        <v>96.7720404221113</v>
      </c>
      <c r="G126" s="20" t="n">
        <f aca="false">ACCRINT(COUPPCD(E126,$B$6,$B$9,$B$10),COUPNCD(E126,$B$6,$B$9,$B$10),E126,$B$7,100,$B$9,$B$10)</f>
        <v>0.116666666666667</v>
      </c>
      <c r="H126" s="20" t="n">
        <f aca="false">F126+G126</f>
        <v>96.888707088778</v>
      </c>
    </row>
    <row r="127" customFormat="false" ht="15" hidden="false" customHeight="false" outlineLevel="0" collapsed="false">
      <c r="E127" s="35" t="n">
        <v>46625</v>
      </c>
      <c r="F127" s="20" t="n">
        <f aca="false">PRICE(E127,$B$6,$B$7,$B$8,100,$B$9,$B$10)</f>
        <v>96.7739482730445</v>
      </c>
      <c r="G127" s="20" t="n">
        <f aca="false">ACCRINT(COUPPCD(E127,$B$6,$B$9,$B$10),COUPNCD(E127,$B$6,$B$9,$B$10),E127,$B$7,100,$B$9,$B$10)</f>
        <v>0.213888888888889</v>
      </c>
      <c r="H127" s="20" t="n">
        <f aca="false">F127+G127</f>
        <v>96.9878371619333</v>
      </c>
    </row>
    <row r="128" customFormat="false" ht="15" hidden="false" customHeight="false" outlineLevel="0" collapsed="false">
      <c r="E128" s="35" t="n">
        <v>46630</v>
      </c>
      <c r="F128" s="20" t="n">
        <f aca="false">PRICE(E128,$B$6,$B$7,$B$8,100,$B$9,$B$10)</f>
        <v>96.7759575472674</v>
      </c>
      <c r="G128" s="20" t="n">
        <f aca="false">ACCRINT(COUPPCD(E128,$B$6,$B$9,$B$10),COUPNCD(E128,$B$6,$B$9,$B$10),E128,$B$7,100,$B$9,$B$10)</f>
        <v>0.311111111111111</v>
      </c>
      <c r="H128" s="20" t="n">
        <f aca="false">F128+G128</f>
        <v>97.0870686583785</v>
      </c>
    </row>
    <row r="129" customFormat="false" ht="15" hidden="false" customHeight="false" outlineLevel="0" collapsed="false">
      <c r="E129" s="35" t="n">
        <v>46635</v>
      </c>
      <c r="F129" s="20" t="n">
        <f aca="false">PRICE(E129,$B$6,$B$7,$B$8,100,$B$9,$B$10)</f>
        <v>96.7776380611438</v>
      </c>
      <c r="G129" s="20" t="n">
        <f aca="false">ACCRINT(COUPPCD(E129,$B$6,$B$9,$B$10),COUPNCD(E129,$B$6,$B$9,$B$10),E129,$B$7,100,$B$9,$B$10)</f>
        <v>0.388888888888889</v>
      </c>
      <c r="H129" s="20" t="n">
        <f aca="false">F129+G129</f>
        <v>97.1665269500326</v>
      </c>
    </row>
    <row r="130" customFormat="false" ht="15" hidden="false" customHeight="false" outlineLevel="0" collapsed="false">
      <c r="E130" s="35" t="n">
        <v>46640</v>
      </c>
      <c r="F130" s="20" t="n">
        <f aca="false">PRICE(E130,$B$6,$B$7,$B$8,100,$B$9,$B$10)</f>
        <v>96.7798301588586</v>
      </c>
      <c r="G130" s="20" t="n">
        <f aca="false">ACCRINT(COUPPCD(E130,$B$6,$B$9,$B$10),COUPNCD(E130,$B$6,$B$9,$B$10),E130,$B$7,100,$B$9,$B$10)</f>
        <v>0.486111111111111</v>
      </c>
      <c r="H130" s="20" t="n">
        <f aca="false">F130+G130</f>
        <v>97.2659412699697</v>
      </c>
    </row>
    <row r="131" customFormat="false" ht="15" hidden="false" customHeight="false" outlineLevel="0" collapsed="false">
      <c r="E131" s="35" t="n">
        <v>46645</v>
      </c>
      <c r="F131" s="20" t="n">
        <f aca="false">PRICE(E131,$B$6,$B$7,$B$8,100,$B$9,$B$10)</f>
        <v>96.7821239706855</v>
      </c>
      <c r="G131" s="20" t="n">
        <f aca="false">ACCRINT(COUPPCD(E131,$B$6,$B$9,$B$10),COUPNCD(E131,$B$6,$B$9,$B$10),E131,$B$7,100,$B$9,$B$10)</f>
        <v>0.583333333333333</v>
      </c>
      <c r="H131" s="20" t="n">
        <f aca="false">F131+G131</f>
        <v>97.3654573040188</v>
      </c>
    </row>
    <row r="132" customFormat="false" ht="15" hidden="false" customHeight="false" outlineLevel="0" collapsed="false">
      <c r="E132" s="35" t="n">
        <v>46650</v>
      </c>
      <c r="F132" s="20" t="n">
        <f aca="false">PRICE(E132,$B$6,$B$7,$B$8,100,$B$9,$B$10)</f>
        <v>96.7845196006916</v>
      </c>
      <c r="G132" s="20" t="n">
        <f aca="false">ACCRINT(COUPPCD(E132,$B$6,$B$9,$B$10),COUPNCD(E132,$B$6,$B$9,$B$10),E132,$B$7,100,$B$9,$B$10)</f>
        <v>0.680555555555556</v>
      </c>
      <c r="H132" s="20" t="n">
        <f aca="false">F132+G132</f>
        <v>97.4650751562471</v>
      </c>
    </row>
    <row r="133" customFormat="false" ht="15" hidden="false" customHeight="false" outlineLevel="0" collapsed="false">
      <c r="E133" s="35" t="n">
        <v>46655</v>
      </c>
      <c r="F133" s="20" t="n">
        <f aca="false">PRICE(E133,$B$6,$B$7,$B$8,100,$B$9,$B$10)</f>
        <v>96.7870171530503</v>
      </c>
      <c r="G133" s="20" t="n">
        <f aca="false">ACCRINT(COUPPCD(E133,$B$6,$B$9,$B$10),COUPNCD(E133,$B$6,$B$9,$B$10),E133,$B$7,100,$B$9,$B$10)</f>
        <v>0.777777777777778</v>
      </c>
      <c r="H133" s="20" t="n">
        <f aca="false">F133+G133</f>
        <v>97.5647949308281</v>
      </c>
    </row>
    <row r="134" customFormat="false" ht="15" hidden="false" customHeight="false" outlineLevel="0" collapsed="false">
      <c r="E134" s="35" t="n">
        <v>46660</v>
      </c>
      <c r="F134" s="20" t="n">
        <f aca="false">PRICE(E134,$B$6,$B$7,$B$8,100,$B$9,$B$10)</f>
        <v>96.789616732042</v>
      </c>
      <c r="G134" s="20" t="n">
        <f aca="false">ACCRINT(COUPPCD(E134,$B$6,$B$9,$B$10),COUPNCD(E134,$B$6,$B$9,$B$10),E134,$B$7,100,$B$9,$B$10)</f>
        <v>0.875</v>
      </c>
      <c r="H134" s="20" t="n">
        <f aca="false">F134+G134</f>
        <v>97.664616732042</v>
      </c>
    </row>
    <row r="135" customFormat="false" ht="15" hidden="false" customHeight="false" outlineLevel="0" collapsed="false">
      <c r="E135" s="35" t="n">
        <v>46665</v>
      </c>
      <c r="F135" s="20" t="n">
        <f aca="false">PRICE(E135,$B$6,$B$7,$B$8,100,$B$9,$B$10)</f>
        <v>96.7923184420534</v>
      </c>
      <c r="G135" s="20" t="n">
        <f aca="false">ACCRINT(COUPPCD(E135,$B$6,$B$9,$B$10),COUPNCD(E135,$B$6,$B$9,$B$10),E135,$B$7,100,$B$9,$B$10)</f>
        <v>0.972222222222222</v>
      </c>
      <c r="H135" s="20" t="n">
        <f aca="false">F135+G135</f>
        <v>97.7645406642756</v>
      </c>
    </row>
    <row r="136" customFormat="false" ht="15" hidden="false" customHeight="false" outlineLevel="0" collapsed="false">
      <c r="E136" s="35" t="n">
        <v>46670</v>
      </c>
      <c r="F136" s="20" t="n">
        <f aca="false">PRICE(E136,$B$6,$B$7,$B$8,100,$B$9,$B$10)</f>
        <v>96.7951223875782</v>
      </c>
      <c r="G136" s="20" t="n">
        <f aca="false">ACCRINT(COUPPCD(E136,$B$6,$B$9,$B$10),COUPNCD(E136,$B$6,$B$9,$B$10),E136,$B$7,100,$B$9,$B$10)</f>
        <v>1.06944444444444</v>
      </c>
      <c r="H136" s="20" t="n">
        <f aca="false">F136+G136</f>
        <v>97.8645668320227</v>
      </c>
    </row>
    <row r="137" customFormat="false" ht="15" hidden="false" customHeight="false" outlineLevel="0" collapsed="false">
      <c r="E137" s="35" t="n">
        <v>46675</v>
      </c>
      <c r="F137" s="20" t="n">
        <f aca="false">PRICE(E137,$B$6,$B$7,$B$8,100,$B$9,$B$10)</f>
        <v>96.798028673217</v>
      </c>
      <c r="G137" s="20" t="n">
        <f aca="false">ACCRINT(COUPPCD(E137,$B$6,$B$9,$B$10),COUPNCD(E137,$B$6,$B$9,$B$10),E137,$B$7,100,$B$9,$B$10)</f>
        <v>1.16666666666667</v>
      </c>
      <c r="H137" s="20" t="n">
        <f aca="false">F137+G137</f>
        <v>97.9646953398837</v>
      </c>
    </row>
    <row r="138" customFormat="false" ht="15" hidden="false" customHeight="false" outlineLevel="0" collapsed="false">
      <c r="E138" s="35" t="n">
        <v>46680</v>
      </c>
      <c r="F138" s="20" t="n">
        <f aca="false">PRICE(E138,$B$6,$B$7,$B$8,100,$B$9,$B$10)</f>
        <v>96.8010374036773</v>
      </c>
      <c r="G138" s="20" t="n">
        <f aca="false">ACCRINT(COUPPCD(E138,$B$6,$B$9,$B$10),COUPNCD(E138,$B$6,$B$9,$B$10),E138,$B$7,100,$B$9,$B$10)</f>
        <v>1.26388888888889</v>
      </c>
      <c r="H138" s="20" t="n">
        <f aca="false">F138+G138</f>
        <v>98.0649262925662</v>
      </c>
    </row>
    <row r="139" customFormat="false" ht="15" hidden="false" customHeight="false" outlineLevel="0" collapsed="false">
      <c r="E139" s="35" t="n">
        <v>46685</v>
      </c>
      <c r="F139" s="20" t="n">
        <f aca="false">PRICE(E139,$B$6,$B$7,$B$8,100,$B$9,$B$10)</f>
        <v>96.804148683774</v>
      </c>
      <c r="G139" s="20" t="n">
        <f aca="false">ACCRINT(COUPPCD(E139,$B$6,$B$9,$B$10),COUPNCD(E139,$B$6,$B$9,$B$10),E139,$B$7,100,$B$9,$B$10)</f>
        <v>1.36111111111111</v>
      </c>
      <c r="H139" s="20" t="n">
        <f aca="false">F139+G139</f>
        <v>98.1652597948851</v>
      </c>
    </row>
    <row r="140" customFormat="false" ht="15" hidden="false" customHeight="false" outlineLevel="0" collapsed="false">
      <c r="E140" s="35" t="n">
        <v>46690</v>
      </c>
      <c r="F140" s="20" t="n">
        <f aca="false">PRICE(E140,$B$6,$B$7,$B$8,100,$B$9,$B$10)</f>
        <v>96.8073626184289</v>
      </c>
      <c r="G140" s="20" t="n">
        <f aca="false">ACCRINT(COUPPCD(E140,$B$6,$B$9,$B$10),COUPNCD(E140,$B$6,$B$9,$B$10),E140,$B$7,100,$B$9,$B$10)</f>
        <v>1.45833333333333</v>
      </c>
      <c r="H140" s="20" t="n">
        <f aca="false">F140+G140</f>
        <v>98.2656959517622</v>
      </c>
    </row>
    <row r="141" customFormat="false" ht="15" hidden="false" customHeight="false" outlineLevel="0" collapsed="false">
      <c r="E141" s="35" t="n">
        <v>46695</v>
      </c>
      <c r="F141" s="20" t="n">
        <f aca="false">PRICE(E141,$B$6,$B$7,$B$8,100,$B$9,$B$10)</f>
        <v>96.8100077480108</v>
      </c>
      <c r="G141" s="20" t="n">
        <f aca="false">ACCRINT(COUPPCD(E141,$B$6,$B$9,$B$10),COUPNCD(E141,$B$6,$B$9,$B$10),E141,$B$7,100,$B$9,$B$10)</f>
        <v>1.53611111111111</v>
      </c>
      <c r="H141" s="20" t="n">
        <f aca="false">F141+G141</f>
        <v>98.3461188591219</v>
      </c>
    </row>
    <row r="142" customFormat="false" ht="15" hidden="false" customHeight="false" outlineLevel="0" collapsed="false">
      <c r="E142" s="35" t="n">
        <v>46700</v>
      </c>
      <c r="F142" s="20" t="n">
        <f aca="false">PRICE(E142,$B$6,$B$7,$B$8,100,$B$9,$B$10)</f>
        <v>96.8134067256165</v>
      </c>
      <c r="G142" s="20" t="n">
        <f aca="false">ACCRINT(COUPPCD(E142,$B$6,$B$9,$B$10),COUPNCD(E142,$B$6,$B$9,$B$10),E142,$B$7,100,$B$9,$B$10)</f>
        <v>1.63333333333333</v>
      </c>
      <c r="H142" s="20" t="n">
        <f aca="false">F142+G142</f>
        <v>98.4467400589499</v>
      </c>
    </row>
    <row r="143" customFormat="false" ht="15" hidden="false" customHeight="false" outlineLevel="0" collapsed="false">
      <c r="E143" s="35" t="n">
        <v>46705</v>
      </c>
      <c r="F143" s="20" t="n">
        <f aca="false">PRICE(E143,$B$6,$B$7,$B$8,100,$B$9,$B$10)</f>
        <v>96.8169086521335</v>
      </c>
      <c r="G143" s="20" t="n">
        <f aca="false">ACCRINT(COUPPCD(E143,$B$6,$B$9,$B$10),COUPNCD(E143,$B$6,$B$9,$B$10),E143,$B$7,100,$B$9,$B$10)</f>
        <v>1.73055555555556</v>
      </c>
      <c r="H143" s="20" t="n">
        <f aca="false">F143+G143</f>
        <v>98.547464207689</v>
      </c>
    </row>
    <row r="144" customFormat="false" ht="15" hidden="false" customHeight="false" outlineLevel="0" collapsed="false">
      <c r="E144" s="35" t="n">
        <v>46710</v>
      </c>
      <c r="F144" s="20" t="n">
        <f aca="false">PRICE(E144,$B$6,$B$7,$B$8,100,$B$9,$B$10)</f>
        <v>96.8205136328921</v>
      </c>
      <c r="G144" s="20" t="n">
        <f aca="false">ACCRINT(COUPPCD(E144,$B$6,$B$9,$B$10),COUPNCD(E144,$B$6,$B$9,$B$10),E144,$B$7,100,$B$9,$B$10)</f>
        <v>1.82777777777778</v>
      </c>
      <c r="H144" s="20" t="n">
        <f aca="false">F144+G144</f>
        <v>98.6482914106699</v>
      </c>
    </row>
    <row r="145" customFormat="false" ht="15" hidden="false" customHeight="false" outlineLevel="0" collapsed="false">
      <c r="E145" s="35" t="n">
        <v>46715</v>
      </c>
      <c r="F145" s="20" t="n">
        <f aca="false">PRICE(E145,$B$6,$B$7,$B$8,100,$B$9,$B$10)</f>
        <v>96.8242217733306</v>
      </c>
      <c r="G145" s="20" t="n">
        <f aca="false">ACCRINT(COUPPCD(E145,$B$6,$B$9,$B$10),COUPNCD(E145,$B$6,$B$9,$B$10),E145,$B$7,100,$B$9,$B$10)</f>
        <v>1.925</v>
      </c>
      <c r="H145" s="20" t="n">
        <f aca="false">F145+G145</f>
        <v>98.7492217733306</v>
      </c>
    </row>
    <row r="146" customFormat="false" ht="15" hidden="false" customHeight="false" outlineLevel="0" collapsed="false">
      <c r="E146" s="35" t="n">
        <v>46720</v>
      </c>
      <c r="F146" s="20" t="n">
        <f aca="false">PRICE(E146,$B$6,$B$7,$B$8,100,$B$9,$B$10)</f>
        <v>96.828033178995</v>
      </c>
      <c r="G146" s="20" t="n">
        <f aca="false">ACCRINT(COUPPCD(E146,$B$6,$B$9,$B$10),COUPNCD(E146,$B$6,$B$9,$B$10),E146,$B$7,100,$B$9,$B$10)</f>
        <v>2.02222222222222</v>
      </c>
      <c r="H146" s="20" t="n">
        <f aca="false">F146+G146</f>
        <v>98.8502554012172</v>
      </c>
    </row>
    <row r="147" customFormat="false" ht="15" hidden="false" customHeight="false" outlineLevel="0" collapsed="false">
      <c r="E147" s="35" t="n">
        <v>46725</v>
      </c>
      <c r="F147" s="20" t="n">
        <f aca="false">PRICE(E147,$B$6,$B$7,$B$8,100,$B$9,$B$10)</f>
        <v>96.8319479555396</v>
      </c>
      <c r="G147" s="20" t="n">
        <f aca="false">ACCRINT(COUPPCD(E147,$B$6,$B$9,$B$10),COUPNCD(E147,$B$6,$B$9,$B$10),E147,$B$7,100,$B$9,$B$10)</f>
        <v>2.11944444444444</v>
      </c>
      <c r="H147" s="20" t="n">
        <f aca="false">F147+G147</f>
        <v>98.951392399984</v>
      </c>
    </row>
    <row r="148" customFormat="false" ht="15" hidden="false" customHeight="false" outlineLevel="0" collapsed="false">
      <c r="E148" s="35" t="n">
        <v>46730</v>
      </c>
      <c r="F148" s="20" t="n">
        <f aca="false">PRICE(E148,$B$6,$B$7,$B$8,100,$B$9,$B$10)</f>
        <v>96.8359662087265</v>
      </c>
      <c r="G148" s="20" t="n">
        <f aca="false">ACCRINT(COUPPCD(E148,$B$6,$B$9,$B$10),COUPNCD(E148,$B$6,$B$9,$B$10),E148,$B$7,100,$B$9,$B$10)</f>
        <v>2.21666666666667</v>
      </c>
      <c r="H148" s="20" t="n">
        <f aca="false">F148+G148</f>
        <v>99.0526328753931</v>
      </c>
    </row>
    <row r="149" customFormat="false" ht="15" hidden="false" customHeight="false" outlineLevel="0" collapsed="false">
      <c r="E149" s="35" t="n">
        <v>46735</v>
      </c>
      <c r="F149" s="20" t="n">
        <f aca="false">PRICE(E149,$B$6,$B$7,$B$8,100,$B$9,$B$10)</f>
        <v>96.8400880444261</v>
      </c>
      <c r="G149" s="20" t="n">
        <f aca="false">ACCRINT(COUPPCD(E149,$B$6,$B$9,$B$10),COUPNCD(E149,$B$6,$B$9,$B$10),E149,$B$7,100,$B$9,$B$10)</f>
        <v>2.31388888888889</v>
      </c>
      <c r="H149" s="20" t="n">
        <f aca="false">F149+G149</f>
        <v>99.153976933315</v>
      </c>
    </row>
    <row r="150" customFormat="false" ht="15" hidden="false" customHeight="false" outlineLevel="0" collapsed="false">
      <c r="E150" s="35" t="n">
        <v>46740</v>
      </c>
      <c r="F150" s="20" t="n">
        <f aca="false">PRICE(E150,$B$6,$B$7,$B$8,100,$B$9,$B$10)</f>
        <v>96.8443135686171</v>
      </c>
      <c r="G150" s="20" t="n">
        <f aca="false">ACCRINT(COUPPCD(E150,$B$6,$B$9,$B$10),COUPNCD(E150,$B$6,$B$9,$B$10),E150,$B$7,100,$B$9,$B$10)</f>
        <v>2.41111111111111</v>
      </c>
      <c r="H150" s="20" t="n">
        <f aca="false">F150+G150</f>
        <v>99.2554246797282</v>
      </c>
    </row>
    <row r="151" customFormat="false" ht="15" hidden="false" customHeight="false" outlineLevel="0" collapsed="false">
      <c r="E151" s="35" t="n">
        <v>46745</v>
      </c>
      <c r="F151" s="20" t="n">
        <f aca="false">PRICE(E151,$B$6,$B$7,$B$8,100,$B$9,$B$10)</f>
        <v>96.8486428873867</v>
      </c>
      <c r="G151" s="20" t="n">
        <f aca="false">ACCRINT(COUPPCD(E151,$B$6,$B$9,$B$10),COUPNCD(E151,$B$6,$B$9,$B$10),E151,$B$7,100,$B$9,$B$10)</f>
        <v>2.50833333333333</v>
      </c>
      <c r="H151" s="20" t="n">
        <f aca="false">F151+G151</f>
        <v>99.35697622072</v>
      </c>
    </row>
    <row r="152" customFormat="false" ht="15" hidden="false" customHeight="false" outlineLevel="0" collapsed="false">
      <c r="E152" s="35" t="n">
        <v>46750</v>
      </c>
      <c r="F152" s="20" t="n">
        <f aca="false">PRICE(E152,$B$6,$B$7,$B$8,100,$B$9,$B$10)</f>
        <v>96.8530761069307</v>
      </c>
      <c r="G152" s="20" t="n">
        <f aca="false">ACCRINT(COUPPCD(E152,$B$6,$B$9,$B$10),COUPNCD(E152,$B$6,$B$9,$B$10),E152,$B$7,100,$B$9,$B$10)</f>
        <v>2.60555555555556</v>
      </c>
      <c r="H152" s="20" t="n">
        <f aca="false">F152+G152</f>
        <v>99.4586316624862</v>
      </c>
    </row>
    <row r="153" customFormat="false" ht="15" hidden="false" customHeight="false" outlineLevel="0" collapsed="false">
      <c r="E153" s="35" t="n">
        <v>46755</v>
      </c>
      <c r="F153" s="20" t="n">
        <f aca="false">PRICE(E153,$B$6,$B$7,$B$8,100,$B$9,$B$10)</f>
        <v>96.8566975625561</v>
      </c>
      <c r="G153" s="20" t="n">
        <f aca="false">ACCRINT(COUPPCD(E153,$B$6,$B$9,$B$10),COUPNCD(E153,$B$6,$B$9,$B$10),E153,$B$7,100,$B$9,$B$10)</f>
        <v>2.68333333333333</v>
      </c>
      <c r="H153" s="20" t="n">
        <f aca="false">F153+G153</f>
        <v>99.5400308958895</v>
      </c>
    </row>
    <row r="154" customFormat="false" ht="15" hidden="false" customHeight="false" outlineLevel="0" collapsed="false">
      <c r="E154" s="35" t="n">
        <v>46760</v>
      </c>
      <c r="F154" s="20" t="n">
        <f aca="false">PRICE(E154,$B$6,$B$7,$B$8,100,$B$9,$B$10)</f>
        <v>96.8613180714539</v>
      </c>
      <c r="G154" s="20" t="n">
        <f aca="false">ACCRINT(COUPPCD(E154,$B$6,$B$9,$B$10),COUPNCD(E154,$B$6,$B$9,$B$10),E154,$B$7,100,$B$9,$B$10)</f>
        <v>2.78055555555556</v>
      </c>
      <c r="H154" s="20" t="n">
        <f aca="false">F154+G154</f>
        <v>99.6418736270094</v>
      </c>
    </row>
    <row r="155" customFormat="false" ht="15" hidden="false" customHeight="false" outlineLevel="0" collapsed="false">
      <c r="E155" s="35" t="n">
        <v>46765</v>
      </c>
      <c r="F155" s="20" t="n">
        <f aca="false">PRICE(E155,$B$6,$B$7,$B$8,100,$B$9,$B$10)</f>
        <v>96.8660427790523</v>
      </c>
      <c r="G155" s="20" t="n">
        <f aca="false">ACCRINT(COUPPCD(E155,$B$6,$B$9,$B$10),COUPNCD(E155,$B$6,$B$9,$B$10),E155,$B$7,100,$B$9,$B$10)</f>
        <v>2.87777777777778</v>
      </c>
      <c r="H155" s="20" t="n">
        <f aca="false">F155+G155</f>
        <v>99.74382055683</v>
      </c>
    </row>
    <row r="156" customFormat="false" ht="15" hidden="false" customHeight="false" outlineLevel="0" collapsed="false">
      <c r="E156" s="35" t="n">
        <v>46770</v>
      </c>
      <c r="F156" s="20" t="n">
        <f aca="false">PRICE(E156,$B$6,$B$7,$B$8,100,$B$9,$B$10)</f>
        <v>96.8708717919604</v>
      </c>
      <c r="G156" s="20" t="n">
        <f aca="false">ACCRINT(COUPPCD(E156,$B$6,$B$9,$B$10),COUPNCD(E156,$B$6,$B$9,$B$10),E156,$B$7,100,$B$9,$B$10)</f>
        <v>2.975</v>
      </c>
      <c r="H156" s="20" t="n">
        <f aca="false">F156+G156</f>
        <v>99.8458717919604</v>
      </c>
    </row>
    <row r="157" customFormat="false" ht="15" hidden="false" customHeight="false" outlineLevel="0" collapsed="false">
      <c r="E157" s="35" t="n">
        <v>46775</v>
      </c>
      <c r="F157" s="20" t="n">
        <f aca="false">PRICE(E157,$B$6,$B$7,$B$8,100,$B$9,$B$10)</f>
        <v>96.8758052168967</v>
      </c>
      <c r="G157" s="20" t="n">
        <f aca="false">ACCRINT(COUPPCD(E157,$B$6,$B$9,$B$10),COUPNCD(E157,$B$6,$B$9,$B$10),E157,$B$7,100,$B$9,$B$10)</f>
        <v>3.07222222222222</v>
      </c>
      <c r="H157" s="20" t="n">
        <f aca="false">F157+G157</f>
        <v>99.9480274391189</v>
      </c>
    </row>
    <row r="158" customFormat="false" ht="15" hidden="false" customHeight="false" outlineLevel="0" collapsed="false">
      <c r="E158" s="35" t="n">
        <v>46780</v>
      </c>
      <c r="F158" s="20" t="n">
        <f aca="false">PRICE(E158,$B$6,$B$7,$B$8,100,$B$9,$B$10)</f>
        <v>96.8808431606885</v>
      </c>
      <c r="G158" s="20" t="n">
        <f aca="false">ACCRINT(COUPPCD(E158,$B$6,$B$9,$B$10),COUPNCD(E158,$B$6,$B$9,$B$10),E158,$B$7,100,$B$9,$B$10)</f>
        <v>3.16944444444444</v>
      </c>
      <c r="H158" s="20" t="n">
        <f aca="false">F158+G158</f>
        <v>100.050287605133</v>
      </c>
    </row>
    <row r="159" customFormat="false" ht="15" hidden="false" customHeight="false" outlineLevel="0" collapsed="false">
      <c r="E159" s="35" t="n">
        <v>46785</v>
      </c>
      <c r="F159" s="20" t="n">
        <f aca="false">PRICE(E159,$B$6,$B$7,$B$8,100,$B$9,$B$10)</f>
        <v>96.8849488411556</v>
      </c>
      <c r="G159" s="20" t="n">
        <f aca="false">ACCRINT(COUPPCD(E159,$B$6,$B$9,$B$10),COUPNCD(E159,$B$6,$B$9,$B$10),E159,$B$7,100,$B$9,$B$10)</f>
        <v>3.24722222222222</v>
      </c>
      <c r="H159" s="20" t="n">
        <f aca="false">F159+G159</f>
        <v>100.132171063378</v>
      </c>
    </row>
    <row r="160" customFormat="false" ht="15" hidden="false" customHeight="false" outlineLevel="0" collapsed="false">
      <c r="E160" s="35" t="n">
        <v>46790</v>
      </c>
      <c r="F160" s="20" t="n">
        <f aca="false">PRICE(E160,$B$6,$B$7,$B$8,100,$B$9,$B$10)</f>
        <v>96.8901751884414</v>
      </c>
      <c r="G160" s="20" t="n">
        <f aca="false">ACCRINT(COUPPCD(E160,$B$6,$B$9,$B$10),COUPNCD(E160,$B$6,$B$9,$B$10),E160,$B$7,100,$B$9,$B$10)</f>
        <v>3.34444444444445</v>
      </c>
      <c r="H160" s="20" t="n">
        <f aca="false">F160+G160</f>
        <v>100.234619632886</v>
      </c>
    </row>
    <row r="161" customFormat="false" ht="15" hidden="false" customHeight="false" outlineLevel="0" collapsed="false">
      <c r="E161" s="35" t="n">
        <v>46795</v>
      </c>
      <c r="F161" s="20" t="n">
        <f aca="false">PRICE(E161,$B$6,$B$7,$B$8,100,$B$9,$B$10)</f>
        <v>96.8955063542813</v>
      </c>
      <c r="G161" s="20" t="n">
        <f aca="false">ACCRINT(COUPPCD(E161,$B$6,$B$9,$B$10),COUPNCD(E161,$B$6,$B$9,$B$10),E161,$B$7,100,$B$9,$B$10)</f>
        <v>3.44166666666667</v>
      </c>
      <c r="H161" s="20" t="n">
        <f aca="false">F161+G161</f>
        <v>100.337173020948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972F"/>
    <pageSetUpPr fitToPage="true"/>
  </sheetPr>
  <dimension ref="A1:Q6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4"/>
    <col collapsed="false" customWidth="true" hidden="false" outlineLevel="0" max="3" min="3" style="0" width="50"/>
    <col collapsed="false" customWidth="true" hidden="false" outlineLevel="0" max="4" min="4" style="0" width="3"/>
    <col collapsed="false" customWidth="true" hidden="false" outlineLevel="0" max="5" min="5" style="0" width="8"/>
    <col collapsed="false" customWidth="true" hidden="false" outlineLevel="0" max="6" min="6" style="0" width="9"/>
    <col collapsed="false" customWidth="true" hidden="false" outlineLevel="0" max="7" min="7" style="0" width="11"/>
    <col collapsed="false" customWidth="true" hidden="false" outlineLevel="0" max="8" min="8" style="0" width="12"/>
    <col collapsed="false" customWidth="true" hidden="false" outlineLevel="0" max="9" min="9" style="0" width="11"/>
    <col collapsed="false" customWidth="true" hidden="false" outlineLevel="0" max="10" min="10" style="0" width="12"/>
    <col collapsed="false" customWidth="true" hidden="false" outlineLevel="0" max="11" min="11" style="0" width="14"/>
    <col collapsed="false" customWidth="true" hidden="false" outlineLevel="0" max="13" min="13" style="0" width="10"/>
    <col collapsed="false" customWidth="true" hidden="false" outlineLevel="0" max="14" min="14" style="0" width="12"/>
    <col collapsed="false" customWidth="true" hidden="false" outlineLevel="0" max="15" min="15" style="0" width="14"/>
    <col collapsed="false" customWidth="true" hidden="false" outlineLevel="0" max="16" min="16" style="0" width="16"/>
    <col collapsed="false" customWidth="true" hidden="false" outlineLevel="0" max="17" min="17" style="0" width="12"/>
  </cols>
  <sheetData>
    <row r="1" customFormat="false" ht="19.7" hidden="false" customHeight="false" outlineLevel="0" collapsed="false">
      <c r="A1" s="12" t="s">
        <v>290</v>
      </c>
    </row>
    <row r="2" customFormat="false" ht="15" hidden="false" customHeight="false" outlineLevel="0" collapsed="false">
      <c r="A2" s="2" t="s">
        <v>291</v>
      </c>
    </row>
    <row r="4" customFormat="false" ht="15" hidden="false" customHeight="false" outlineLevel="0" collapsed="false">
      <c r="A4" s="13" t="s">
        <v>292</v>
      </c>
      <c r="B4" s="14"/>
      <c r="C4" s="14"/>
      <c r="E4" s="3" t="s">
        <v>293</v>
      </c>
      <c r="M4" s="3" t="s">
        <v>294</v>
      </c>
    </row>
    <row r="5" customFormat="false" ht="30" hidden="false" customHeight="true" outlineLevel="0" collapsed="false">
      <c r="A5" s="5" t="s">
        <v>9</v>
      </c>
      <c r="B5" s="38" t="n">
        <f aca="false">'1 Coupon Bond'!B5</f>
        <v>100</v>
      </c>
      <c r="E5" s="16" t="s">
        <v>54</v>
      </c>
      <c r="F5" s="16" t="s">
        <v>55</v>
      </c>
      <c r="G5" s="16" t="s">
        <v>56</v>
      </c>
      <c r="H5" s="16" t="s">
        <v>284</v>
      </c>
      <c r="I5" s="16" t="s">
        <v>295</v>
      </c>
      <c r="J5" s="16" t="s">
        <v>296</v>
      </c>
      <c r="K5" s="16" t="s">
        <v>297</v>
      </c>
      <c r="M5" s="16" t="s">
        <v>298</v>
      </c>
      <c r="N5" s="16" t="s">
        <v>299</v>
      </c>
      <c r="O5" s="16" t="s">
        <v>300</v>
      </c>
      <c r="P5" s="16" t="s">
        <v>301</v>
      </c>
      <c r="Q5" s="16" t="s">
        <v>302</v>
      </c>
    </row>
    <row r="6" customFormat="false" ht="15" hidden="false" customHeight="false" outlineLevel="0" collapsed="false">
      <c r="A6" s="5" t="s">
        <v>182</v>
      </c>
      <c r="B6" s="39" t="n">
        <f aca="false">'1 Coupon Bond'!B6</f>
        <v>0.07</v>
      </c>
      <c r="E6" s="18" t="n">
        <v>1</v>
      </c>
      <c r="F6" s="19" t="n">
        <f aca="false">E6/$B$7</f>
        <v>0.5</v>
      </c>
      <c r="G6" s="20" t="n">
        <f aca="false">IF(E6&lt;=$B$7*$B$8,$B$5*$B$6/$B$7+IF(E6=$B$7*$B$8,$B$5,0),0)</f>
        <v>3.5</v>
      </c>
      <c r="H6" s="20" t="n">
        <f aca="false">G6/(1+$B$9/$B$7)^E6</f>
        <v>3.37349397590361</v>
      </c>
      <c r="I6" s="28" t="n">
        <f aca="false">H6/$B$15</f>
        <v>0.0349490889517621</v>
      </c>
      <c r="J6" s="20" t="n">
        <f aca="false">E6*H6</f>
        <v>3.37349397590361</v>
      </c>
      <c r="K6" s="29" t="n">
        <f aca="false">E6*(E6+1)*H6</f>
        <v>6.74698795180723</v>
      </c>
      <c r="M6" s="28" t="n">
        <v>-0.03</v>
      </c>
      <c r="N6" s="29" t="n">
        <f aca="false">-PV(($B$9+M6)/$B$7,$B$7*$B$8,$B$5*$B$6/$B$7,$B$5)</f>
        <v>119.95464046247</v>
      </c>
      <c r="O6" s="29" t="n">
        <f aca="false">$B$28*(1-$B$30*M6)</f>
        <v>116.905710003061</v>
      </c>
      <c r="P6" s="29" t="n">
        <f aca="false">$B$28*(1-$B$30*M6+0.5*$B$31*M6^2)</f>
        <v>119.658151374851</v>
      </c>
      <c r="Q6" s="20" t="n">
        <f aca="false">P6-N6</f>
        <v>-0.296489087619051</v>
      </c>
    </row>
    <row r="7" customFormat="false" ht="15" hidden="false" customHeight="false" outlineLevel="0" collapsed="false">
      <c r="A7" s="5" t="s">
        <v>60</v>
      </c>
      <c r="B7" s="40" t="n">
        <f aca="false">'1 Coupon Bond'!B7</f>
        <v>2</v>
      </c>
      <c r="E7" s="18" t="n">
        <f aca="false">E6+1</f>
        <v>2</v>
      </c>
      <c r="F7" s="19" t="n">
        <f aca="false">E7/$B$7</f>
        <v>1</v>
      </c>
      <c r="G7" s="20" t="n">
        <f aca="false">IF(E7&lt;=$B$7*$B$8,$B$5*$B$6/$B$7+IF(E7=$B$7*$B$8,$B$5,0),0)</f>
        <v>3.5</v>
      </c>
      <c r="H7" s="20" t="n">
        <f aca="false">G7/(1+$B$9/$B$7)^E7</f>
        <v>3.25156045870228</v>
      </c>
      <c r="I7" s="28" t="n">
        <f aca="false">H7/$B$15</f>
        <v>0.0336858688691683</v>
      </c>
      <c r="J7" s="20" t="n">
        <f aca="false">E7*H7</f>
        <v>6.50312091740456</v>
      </c>
      <c r="K7" s="29" t="n">
        <f aca="false">E7*(E7+1)*H7</f>
        <v>19.5093627522137</v>
      </c>
      <c r="M7" s="28" t="n">
        <v>-0.025</v>
      </c>
      <c r="N7" s="29" t="n">
        <f aca="false">-PV(($B$9+M7)/$B$7,$B$7*$B$8,$B$5*$B$6/$B$7,$B$5)</f>
        <v>115.589162285647</v>
      </c>
      <c r="O7" s="29" t="n">
        <f aca="false">$B$28*(1-$B$30*M7)</f>
        <v>113.509083160392</v>
      </c>
      <c r="P7" s="29" t="n">
        <f aca="false">$B$28*(1-$B$30*M7+0.5*$B$31*M7^2)</f>
        <v>115.420500779691</v>
      </c>
      <c r="Q7" s="20" t="n">
        <f aca="false">P7-N7</f>
        <v>-0.168661505956138</v>
      </c>
    </row>
    <row r="8" customFormat="false" ht="15" hidden="false" customHeight="false" outlineLevel="0" collapsed="false">
      <c r="A8" s="5" t="s">
        <v>96</v>
      </c>
      <c r="B8" s="40" t="n">
        <f aca="false">'1 Coupon Bond'!B8</f>
        <v>10</v>
      </c>
      <c r="E8" s="18" t="n">
        <f aca="false">E7+1</f>
        <v>3</v>
      </c>
      <c r="F8" s="19" t="n">
        <f aca="false">E8/$B$7</f>
        <v>1.5</v>
      </c>
      <c r="G8" s="20" t="n">
        <f aca="false">IF(E8&lt;=$B$7*$B$8,$B$5*$B$6/$B$7+IF(E8=$B$7*$B$8,$B$5,0),0)</f>
        <v>3.5</v>
      </c>
      <c r="H8" s="20" t="n">
        <f aca="false">G8/(1+$B$9/$B$7)^E8</f>
        <v>3.13403417706244</v>
      </c>
      <c r="I8" s="28" t="n">
        <f aca="false">H8/$B$15</f>
        <v>0.0324683073437766</v>
      </c>
      <c r="J8" s="20" t="n">
        <f aca="false">E8*H8</f>
        <v>9.40210253118731</v>
      </c>
      <c r="K8" s="29" t="n">
        <f aca="false">E8*(E8+1)*H8</f>
        <v>37.6084101247493</v>
      </c>
      <c r="M8" s="28" t="n">
        <v>-0.02</v>
      </c>
      <c r="N8" s="29" t="n">
        <f aca="false">-PV(($B$9+M8)/$B$7,$B$7*$B$8,$B$5*$B$6/$B$7,$B$5)</f>
        <v>111.420439100332</v>
      </c>
      <c r="O8" s="29" t="n">
        <f aca="false">$B$28*(1-$B$30*M8)</f>
        <v>110.112456317723</v>
      </c>
      <c r="P8" s="29" t="n">
        <f aca="false">$B$28*(1-$B$30*M8+0.5*$B$31*M8^2)</f>
        <v>111.335763594074</v>
      </c>
      <c r="Q8" s="20" t="n">
        <f aca="false">P8-N8</f>
        <v>-0.0846755062574403</v>
      </c>
    </row>
    <row r="9" customFormat="false" ht="15" hidden="false" customHeight="false" outlineLevel="0" collapsed="false">
      <c r="A9" s="5" t="s">
        <v>254</v>
      </c>
      <c r="B9" s="39" t="n">
        <f aca="false">'1 Coupon Bond'!B9</f>
        <v>0.075</v>
      </c>
      <c r="E9" s="18" t="n">
        <f aca="false">E8+1</f>
        <v>4</v>
      </c>
      <c r="F9" s="19" t="n">
        <f aca="false">E9/$B$7</f>
        <v>2</v>
      </c>
      <c r="G9" s="20" t="n">
        <f aca="false">IF(E9&lt;=$B$7*$B$8,$B$5*$B$6/$B$7+IF(E9=$B$7*$B$8,$B$5,0),0)</f>
        <v>3.5</v>
      </c>
      <c r="H9" s="20" t="n">
        <f aca="false">G9/(1+$B$9/$B$7)^E9</f>
        <v>3.02075583331319</v>
      </c>
      <c r="I9" s="28" t="n">
        <f aca="false">H9/$B$15</f>
        <v>0.0312947540662907</v>
      </c>
      <c r="J9" s="20" t="n">
        <f aca="false">E9*H9</f>
        <v>12.0830233332528</v>
      </c>
      <c r="K9" s="29" t="n">
        <f aca="false">E9*(E9+1)*H9</f>
        <v>60.4151166662639</v>
      </c>
      <c r="M9" s="28" t="n">
        <v>-0.015</v>
      </c>
      <c r="N9" s="29" t="n">
        <f aca="false">-PV(($B$9+M9)/$B$7,$B$7*$B$8,$B$5*$B$6/$B$7,$B$5)</f>
        <v>107.438737430228</v>
      </c>
      <c r="O9" s="29" t="n">
        <f aca="false">$B$28*(1-$B$30*M9)</f>
        <v>106.715829475054</v>
      </c>
      <c r="P9" s="29" t="n">
        <f aca="false">$B$28*(1-$B$30*M9+0.5*$B$31*M9^2)</f>
        <v>107.403939818002</v>
      </c>
      <c r="Q9" s="20" t="n">
        <f aca="false">P9-N9</f>
        <v>-0.0347976122259297</v>
      </c>
    </row>
    <row r="10" customFormat="false" ht="15" hidden="false" customHeight="false" outlineLevel="0" collapsed="false">
      <c r="A10" s="5" t="s">
        <v>286</v>
      </c>
      <c r="B10" s="41" t="n">
        <f aca="false">'1 Coupon Bond'!B10</f>
        <v>46341</v>
      </c>
      <c r="E10" s="18" t="n">
        <f aca="false">E9+1</f>
        <v>5</v>
      </c>
      <c r="F10" s="19" t="n">
        <f aca="false">E10/$B$7</f>
        <v>2.5</v>
      </c>
      <c r="G10" s="20" t="n">
        <f aca="false">IF(E10&lt;=$B$7*$B$8,$B$5*$B$6/$B$7+IF(E10=$B$7*$B$8,$B$5,0),0)</f>
        <v>3.5</v>
      </c>
      <c r="H10" s="20" t="n">
        <f aca="false">G10/(1+$B$9/$B$7)^E10</f>
        <v>2.91157188753079</v>
      </c>
      <c r="I10" s="28" t="n">
        <f aca="false">H10/$B$15</f>
        <v>0.0301636183771477</v>
      </c>
      <c r="J10" s="20" t="n">
        <f aca="false">E10*H10</f>
        <v>14.5578594376539</v>
      </c>
      <c r="K10" s="29" t="n">
        <f aca="false">E10*(E10+1)*H10</f>
        <v>87.3471566259236</v>
      </c>
      <c r="M10" s="28" t="n">
        <v>-0.01</v>
      </c>
      <c r="N10" s="29" t="n">
        <f aca="false">-PV(($B$9+M10)/$B$7,$B$7*$B$8,$B$5*$B$6/$B$7,$B$5)</f>
        <v>103.634836536734</v>
      </c>
      <c r="O10" s="29" t="n">
        <f aca="false">$B$28*(1-$B$30*M10)</f>
        <v>103.319202632386</v>
      </c>
      <c r="P10" s="29" t="n">
        <f aca="false">$B$28*(1-$B$30*M10+0.5*$B$31*M10^2)</f>
        <v>103.625029451473</v>
      </c>
      <c r="Q10" s="20" t="n">
        <f aca="false">P10-N10</f>
        <v>-0.0098070852602774</v>
      </c>
    </row>
    <row r="11" customFormat="false" ht="15" hidden="false" customHeight="false" outlineLevel="0" collapsed="false">
      <c r="A11" s="5" t="s">
        <v>303</v>
      </c>
      <c r="B11" s="41" t="n">
        <f aca="false">'1 Coupon Bond'!B11</f>
        <v>49994</v>
      </c>
      <c r="E11" s="18" t="n">
        <f aca="false">E10+1</f>
        <v>6</v>
      </c>
      <c r="F11" s="19" t="n">
        <f aca="false">E11/$B$7</f>
        <v>3</v>
      </c>
      <c r="G11" s="20" t="n">
        <f aca="false">IF(E11&lt;=$B$7*$B$8,$B$5*$B$6/$B$7+IF(E11=$B$7*$B$8,$B$5,0),0)</f>
        <v>3.5</v>
      </c>
      <c r="H11" s="20" t="n">
        <f aca="false">G11/(1+$B$9/$B$7)^E11</f>
        <v>2.80633434942727</v>
      </c>
      <c r="I11" s="28" t="n">
        <f aca="false">H11/$B$15</f>
        <v>0.0290733671105038</v>
      </c>
      <c r="J11" s="20" t="n">
        <f aca="false">E11*H11</f>
        <v>16.8380060965636</v>
      </c>
      <c r="K11" s="29" t="n">
        <f aca="false">E11*(E11+1)*H11</f>
        <v>117.866042675945</v>
      </c>
      <c r="M11" s="28" t="n">
        <v>-0.005</v>
      </c>
      <c r="N11" s="29" t="n">
        <f aca="false">-PV(($B$9+M11)/$B$7,$B$7*$B$8,$B$5*$B$6/$B$7,$B$5)</f>
        <v>100</v>
      </c>
      <c r="O11" s="29" t="n">
        <f aca="false">$B$28*(1-$B$30*M11)</f>
        <v>99.9225757897167</v>
      </c>
      <c r="P11" s="29" t="n">
        <f aca="false">$B$28*(1-$B$30*M11+0.5*$B$31*M11^2)</f>
        <v>99.9990324944886</v>
      </c>
      <c r="Q11" s="20" t="n">
        <f aca="false">P11-N11</f>
        <v>-0.000967505511397349</v>
      </c>
    </row>
    <row r="12" customFormat="false" ht="15" hidden="false" customHeight="false" outlineLevel="0" collapsed="false">
      <c r="A12" s="5" t="s">
        <v>304</v>
      </c>
      <c r="B12" s="17" t="n">
        <v>0.0025</v>
      </c>
      <c r="E12" s="18" t="n">
        <f aca="false">E11+1</f>
        <v>7</v>
      </c>
      <c r="F12" s="19" t="n">
        <f aca="false">E12/$B$7</f>
        <v>3.5</v>
      </c>
      <c r="G12" s="20" t="n">
        <f aca="false">IF(E12&lt;=$B$7*$B$8,$B$5*$B$6/$B$7+IF(E12=$B$7*$B$8,$B$5,0),0)</f>
        <v>3.5</v>
      </c>
      <c r="H12" s="20" t="n">
        <f aca="false">G12/(1+$B$9/$B$7)^E12</f>
        <v>2.70490057776122</v>
      </c>
      <c r="I12" s="28" t="n">
        <f aca="false">H12/$B$15</f>
        <v>0.0280225225161482</v>
      </c>
      <c r="J12" s="20" t="n">
        <f aca="false">E12*H12</f>
        <v>18.9343040443285</v>
      </c>
      <c r="K12" s="29" t="n">
        <f aca="false">E12*(E12+1)*H12</f>
        <v>151.474432354628</v>
      </c>
      <c r="M12" s="28" t="n">
        <v>0</v>
      </c>
      <c r="N12" s="29" t="n">
        <f aca="false">-PV(($B$9+M12)/$B$7,$B$7*$B$8,$B$5*$B$6/$B$7,$B$5)</f>
        <v>96.5259489470478</v>
      </c>
      <c r="O12" s="29" t="n">
        <f aca="false">$B$28*(1-$B$30*M12)</f>
        <v>96.5259489470478</v>
      </c>
      <c r="P12" s="29" t="n">
        <f aca="false">$B$28*(1-$B$30*M12+0.5*$B$31*M12^2)</f>
        <v>96.5259489470478</v>
      </c>
      <c r="Q12" s="20" t="n">
        <f aca="false">P12-N12</f>
        <v>0</v>
      </c>
    </row>
    <row r="13" customFormat="false" ht="15" hidden="false" customHeight="false" outlineLevel="0" collapsed="false">
      <c r="E13" s="18" t="n">
        <f aca="false">E12+1</f>
        <v>8</v>
      </c>
      <c r="F13" s="19" t="n">
        <f aca="false">E13/$B$7</f>
        <v>4</v>
      </c>
      <c r="G13" s="20" t="n">
        <f aca="false">IF(E13&lt;=$B$7*$B$8,$B$5*$B$6/$B$7+IF(E13=$B$7*$B$8,$B$5,0),0)</f>
        <v>3.5</v>
      </c>
      <c r="H13" s="20" t="n">
        <f aca="false">G13/(1+$B$9/$B$7)^E13</f>
        <v>2.60713308699877</v>
      </c>
      <c r="I13" s="28" t="n">
        <f aca="false">H13/$B$15</f>
        <v>0.0270096602565284</v>
      </c>
      <c r="J13" s="20" t="n">
        <f aca="false">E13*H13</f>
        <v>20.8570646959901</v>
      </c>
      <c r="K13" s="29" t="n">
        <f aca="false">E13*(E13+1)*H13</f>
        <v>187.713582263911</v>
      </c>
      <c r="M13" s="28" t="n">
        <v>0.005</v>
      </c>
      <c r="N13" s="29" t="n">
        <f aca="false">-PV(($B$9+M13)/$B$7,$B$7*$B$8,$B$5*$B$6/$B$7,$B$5)</f>
        <v>93.2048368275162</v>
      </c>
      <c r="O13" s="29" t="n">
        <f aca="false">$B$28*(1-$B$30*M13)</f>
        <v>93.129322104379</v>
      </c>
      <c r="P13" s="29" t="n">
        <f aca="false">$B$28*(1-$B$30*M13+0.5*$B$31*M13^2)</f>
        <v>93.2057788091509</v>
      </c>
      <c r="Q13" s="20" t="n">
        <f aca="false">P13-N13</f>
        <v>0.000941981634738909</v>
      </c>
    </row>
    <row r="14" customFormat="false" ht="15" hidden="false" customHeight="false" outlineLevel="0" collapsed="false">
      <c r="A14" s="13" t="s">
        <v>305</v>
      </c>
      <c r="B14" s="14"/>
      <c r="C14" s="14"/>
      <c r="E14" s="18" t="n">
        <f aca="false">E13+1</f>
        <v>9</v>
      </c>
      <c r="F14" s="19" t="n">
        <f aca="false">E14/$B$7</f>
        <v>4.5</v>
      </c>
      <c r="G14" s="20" t="n">
        <f aca="false">IF(E14&lt;=$B$7*$B$8,$B$5*$B$6/$B$7+IF(E14=$B$7*$B$8,$B$5,0),0)</f>
        <v>3.5</v>
      </c>
      <c r="H14" s="20" t="n">
        <f aca="false">G14/(1+$B$9/$B$7)^E14</f>
        <v>2.51289936096266</v>
      </c>
      <c r="I14" s="28" t="n">
        <f aca="false">H14/$B$15</f>
        <v>0.026033407476172</v>
      </c>
      <c r="J14" s="20" t="n">
        <f aca="false">E14*H14</f>
        <v>22.616094248664</v>
      </c>
      <c r="K14" s="29" t="n">
        <f aca="false">E14*(E14+1)*H14</f>
        <v>226.16094248664</v>
      </c>
      <c r="M14" s="28" t="n">
        <v>0.01</v>
      </c>
      <c r="N14" s="29" t="n">
        <f aca="false">-PV(($B$9+M14)/$B$7,$B$7*$B$8,$B$5*$B$6/$B$7,$B$5)</f>
        <v>90.0292256438479</v>
      </c>
      <c r="O14" s="29" t="n">
        <f aca="false">$B$28*(1-$B$30*M14)</f>
        <v>89.7326952617101</v>
      </c>
      <c r="P14" s="29" t="n">
        <f aca="false">$B$28*(1-$B$30*M14+0.5*$B$31*M14^2)</f>
        <v>90.0385220807979</v>
      </c>
      <c r="Q14" s="20" t="n">
        <f aca="false">P14-N14</f>
        <v>0.00929643694995264</v>
      </c>
    </row>
    <row r="15" customFormat="false" ht="15" hidden="false" customHeight="false" outlineLevel="0" collapsed="false">
      <c r="A15" s="5" t="s">
        <v>306</v>
      </c>
      <c r="B15" s="26" t="n">
        <f aca="false">SUM(H6:H65)</f>
        <v>96.5259489470477</v>
      </c>
      <c r="C15" s="24" t="s">
        <v>307</v>
      </c>
      <c r="E15" s="18" t="n">
        <f aca="false">E14+1</f>
        <v>10</v>
      </c>
      <c r="F15" s="19" t="n">
        <f aca="false">E15/$B$7</f>
        <v>5</v>
      </c>
      <c r="G15" s="20" t="n">
        <f aca="false">IF(E15&lt;=$B$7*$B$8,$B$5*$B$6/$B$7+IF(E15=$B$7*$B$8,$B$5,0),0)</f>
        <v>3.5</v>
      </c>
      <c r="H15" s="20" t="n">
        <f aca="false">G15/(1+$B$9/$B$7)^E15</f>
        <v>2.42207167321703</v>
      </c>
      <c r="I15" s="28" t="n">
        <f aca="false">H15/$B$15</f>
        <v>0.0250924409408886</v>
      </c>
      <c r="J15" s="20" t="n">
        <f aca="false">E15*H15</f>
        <v>24.2207167321703</v>
      </c>
      <c r="K15" s="29" t="n">
        <f aca="false">E15*(E15+1)*H15</f>
        <v>266.427884053873</v>
      </c>
      <c r="M15" s="28" t="n">
        <v>0.015</v>
      </c>
      <c r="N15" s="29" t="n">
        <f aca="false">-PV(($B$9+M15)/$B$7,$B$7*$B$8,$B$5*$B$6/$B$7,$B$5)</f>
        <v>86.9920635485463</v>
      </c>
      <c r="O15" s="29" t="n">
        <f aca="false">$B$28*(1-$B$30*M15)</f>
        <v>86.3360684190413</v>
      </c>
      <c r="P15" s="29" t="n">
        <f aca="false">$B$28*(1-$B$30*M15+0.5*$B$31*M15^2)</f>
        <v>87.0241787619887</v>
      </c>
      <c r="Q15" s="20" t="n">
        <f aca="false">P15-N15</f>
        <v>0.0321152134424096</v>
      </c>
    </row>
    <row r="16" customFormat="false" ht="15" hidden="false" customHeight="false" outlineLevel="0" collapsed="false">
      <c r="A16" s="5" t="s">
        <v>308</v>
      </c>
      <c r="B16" s="26" t="n">
        <f aca="false">SUM(J6:J65)/B15/B7</f>
        <v>7.30098021391972</v>
      </c>
      <c r="C16" s="24" t="s">
        <v>309</v>
      </c>
      <c r="E16" s="18" t="n">
        <f aca="false">E15+1</f>
        <v>11</v>
      </c>
      <c r="F16" s="19" t="n">
        <f aca="false">E16/$B$7</f>
        <v>5.5</v>
      </c>
      <c r="G16" s="20" t="n">
        <f aca="false">IF(E16&lt;=$B$7*$B$8,$B$5*$B$6/$B$7+IF(E16=$B$7*$B$8,$B$5,0),0)</f>
        <v>3.5</v>
      </c>
      <c r="H16" s="20" t="n">
        <f aca="false">G16/(1+$B$9/$B$7)^E16</f>
        <v>2.33452691394412</v>
      </c>
      <c r="I16" s="28" t="n">
        <f aca="false">H16/$B$15</f>
        <v>0.02418548524423</v>
      </c>
      <c r="J16" s="20" t="n">
        <f aca="false">E16*H16</f>
        <v>25.6797960533853</v>
      </c>
      <c r="K16" s="29" t="n">
        <f aca="false">E16*(E16+1)*H16</f>
        <v>308.157552640624</v>
      </c>
      <c r="M16" s="28" t="n">
        <v>0.02</v>
      </c>
      <c r="N16" s="29" t="n">
        <f aca="false">-PV(($B$9+M16)/$B$7,$B$7*$B$8,$B$5*$B$6/$B$7,$B$5)</f>
        <v>84.0866637265896</v>
      </c>
      <c r="O16" s="29" t="n">
        <f aca="false">$B$28*(1-$B$30*M16)</f>
        <v>82.9394415763724</v>
      </c>
      <c r="P16" s="29" t="n">
        <f aca="false">$B$28*(1-$B$30*M16+0.5*$B$31*M16^2)</f>
        <v>84.1627488527235</v>
      </c>
      <c r="Q16" s="20" t="n">
        <f aca="false">P16-N16</f>
        <v>0.0760851261338473</v>
      </c>
    </row>
    <row r="17" customFormat="false" ht="15" hidden="false" customHeight="false" outlineLevel="0" collapsed="false">
      <c r="A17" s="5" t="s">
        <v>310</v>
      </c>
      <c r="B17" s="26" t="n">
        <f aca="false">B16/(1+B9/B7)</f>
        <v>7.03708936281418</v>
      </c>
      <c r="C17" s="24" t="s">
        <v>311</v>
      </c>
      <c r="E17" s="18" t="n">
        <f aca="false">E16+1</f>
        <v>12</v>
      </c>
      <c r="F17" s="19" t="n">
        <f aca="false">E17/$B$7</f>
        <v>6</v>
      </c>
      <c r="G17" s="20" t="n">
        <f aca="false">IF(E17&lt;=$B$7*$B$8,$B$5*$B$6/$B$7+IF(E17=$B$7*$B$8,$B$5,0),0)</f>
        <v>3.5</v>
      </c>
      <c r="H17" s="20" t="n">
        <f aca="false">G17/(1+$B$9/$B$7)^E17</f>
        <v>2.25014642307867</v>
      </c>
      <c r="I17" s="28" t="n">
        <f aca="false">H17/$B$15</f>
        <v>0.0233113110787759</v>
      </c>
      <c r="J17" s="20" t="n">
        <f aca="false">E17*H17</f>
        <v>27.0017570769441</v>
      </c>
      <c r="K17" s="29" t="n">
        <f aca="false">E17*(E17+1)*H17</f>
        <v>351.022842000273</v>
      </c>
      <c r="M17" s="28" t="n">
        <v>0.025</v>
      </c>
      <c r="N17" s="29" t="n">
        <f aca="false">-PV(($B$9+M17)/$B$7,$B$7*$B$8,$B$5*$B$6/$B$7,$B$5)</f>
        <v>81.30668448619</v>
      </c>
      <c r="O17" s="29" t="n">
        <f aca="false">$B$28*(1-$B$30*M17)</f>
        <v>79.5428147337036</v>
      </c>
      <c r="P17" s="29" t="n">
        <f aca="false">$B$28*(1-$B$30*M17+0.5*$B$31*M17^2)</f>
        <v>81.4542323530021</v>
      </c>
      <c r="Q17" s="20" t="n">
        <f aca="false">P17-N17</f>
        <v>0.147547866812104</v>
      </c>
    </row>
    <row r="18" customFormat="false" ht="15" hidden="false" customHeight="false" outlineLevel="0" collapsed="false">
      <c r="A18" s="5" t="s">
        <v>312</v>
      </c>
      <c r="B18" s="26" t="n">
        <f aca="false">SUM(K6:K65)/(1+B9/B7)^2/B15/B7^2</f>
        <v>63.3632320434046</v>
      </c>
      <c r="C18" s="24" t="s">
        <v>313</v>
      </c>
      <c r="E18" s="18" t="n">
        <f aca="false">E17+1</f>
        <v>13</v>
      </c>
      <c r="F18" s="19" t="n">
        <f aca="false">E18/$B$7</f>
        <v>6.5</v>
      </c>
      <c r="G18" s="20" t="n">
        <f aca="false">IF(E18&lt;=$B$7*$B$8,$B$5*$B$6/$B$7+IF(E18=$B$7*$B$8,$B$5,0),0)</f>
        <v>3.5</v>
      </c>
      <c r="H18" s="20" t="n">
        <f aca="false">G18/(1+$B$9/$B$7)^E18</f>
        <v>2.16881582947342</v>
      </c>
      <c r="I18" s="28" t="n">
        <f aca="false">H18/$B$15</f>
        <v>0.0224687335699045</v>
      </c>
      <c r="J18" s="20" t="n">
        <f aca="false">E18*H18</f>
        <v>28.1946057831544</v>
      </c>
      <c r="K18" s="29" t="n">
        <f aca="false">E18*(E18+1)*H18</f>
        <v>394.724480964162</v>
      </c>
      <c r="M18" s="28" t="n">
        <v>0.03</v>
      </c>
      <c r="N18" s="29" t="n">
        <f aca="false">-PV(($B$9+M18)/$B$7,$B$7*$B$8,$B$5*$B$6/$B$7,$B$5)</f>
        <v>78.646110485851</v>
      </c>
      <c r="O18" s="29" t="n">
        <f aca="false">$B$28*(1-$B$30*M18)</f>
        <v>76.1461878910347</v>
      </c>
      <c r="P18" s="29" t="n">
        <f aca="false">$B$28*(1-$B$30*M18+0.5*$B$31*M18^2)</f>
        <v>78.8986292628246</v>
      </c>
      <c r="Q18" s="20" t="n">
        <f aca="false">P18-N18</f>
        <v>0.252518776973616</v>
      </c>
    </row>
    <row r="19" customFormat="false" ht="15" hidden="false" customHeight="false" outlineLevel="0" collapsed="false">
      <c r="A19" s="5" t="s">
        <v>314</v>
      </c>
      <c r="B19" s="21" t="n">
        <f aca="false">B17*B15*0.0001</f>
        <v>0.0679261728570814</v>
      </c>
      <c r="C19" s="24" t="s">
        <v>315</v>
      </c>
      <c r="E19" s="18" t="n">
        <f aca="false">E18+1</f>
        <v>14</v>
      </c>
      <c r="F19" s="19" t="n">
        <f aca="false">E19/$B$7</f>
        <v>7</v>
      </c>
      <c r="G19" s="20" t="n">
        <f aca="false">IF(E19&lt;=$B$7*$B$8,$B$5*$B$6/$B$7+IF(E19=$B$7*$B$8,$B$5,0),0)</f>
        <v>3.5</v>
      </c>
      <c r="H19" s="20" t="n">
        <f aca="false">G19/(1+$B$9/$B$7)^E19</f>
        <v>2.09042489587799</v>
      </c>
      <c r="I19" s="28" t="n">
        <f aca="false">H19/$B$15</f>
        <v>0.0216566106697875</v>
      </c>
      <c r="J19" s="20" t="n">
        <f aca="false">E19*H19</f>
        <v>29.2659485422919</v>
      </c>
      <c r="K19" s="29" t="n">
        <f aca="false">E19*(E19+1)*H19</f>
        <v>438.989228134379</v>
      </c>
    </row>
    <row r="20" customFormat="false" ht="15" hidden="false" customHeight="false" outlineLevel="0" collapsed="false">
      <c r="E20" s="18" t="n">
        <f aca="false">E19+1</f>
        <v>15</v>
      </c>
      <c r="F20" s="19" t="n">
        <f aca="false">E20/$B$7</f>
        <v>7.5</v>
      </c>
      <c r="G20" s="20" t="n">
        <f aca="false">IF(E20&lt;=$B$7*$B$8,$B$5*$B$6/$B$7+IF(E20=$B$7*$B$8,$B$5,0),0)</f>
        <v>3.5</v>
      </c>
      <c r="H20" s="20" t="n">
        <f aca="false">G20/(1+$B$9/$B$7)^E20</f>
        <v>2.01486736952096</v>
      </c>
      <c r="I20" s="28" t="n">
        <f aca="false">H20/$B$15</f>
        <v>0.0208738416094337</v>
      </c>
      <c r="J20" s="20" t="n">
        <f aca="false">E20*H20</f>
        <v>30.2230105428144</v>
      </c>
      <c r="K20" s="29" t="n">
        <f aca="false">E20*(E20+1)*H20</f>
        <v>483.56816868503</v>
      </c>
    </row>
    <row r="21" customFormat="false" ht="15" hidden="false" customHeight="false" outlineLevel="0" collapsed="false">
      <c r="A21" s="13" t="s">
        <v>316</v>
      </c>
      <c r="B21" s="14"/>
      <c r="C21" s="14"/>
      <c r="E21" s="18" t="n">
        <f aca="false">E20+1</f>
        <v>16</v>
      </c>
      <c r="F21" s="19" t="n">
        <f aca="false">E21/$B$7</f>
        <v>8</v>
      </c>
      <c r="G21" s="20" t="n">
        <f aca="false">IF(E21&lt;=$B$7*$B$8,$B$5*$B$6/$B$7+IF(E21=$B$7*$B$8,$B$5,0),0)</f>
        <v>3.5</v>
      </c>
      <c r="H21" s="20" t="n">
        <f aca="false">G21/(1+$B$9/$B$7)^E21</f>
        <v>1.94204083809249</v>
      </c>
      <c r="I21" s="28" t="n">
        <f aca="false">H21/$B$15</f>
        <v>0.0201193654066831</v>
      </c>
      <c r="J21" s="20" t="n">
        <f aca="false">E21*H21</f>
        <v>31.0726534094798</v>
      </c>
      <c r="K21" s="29" t="n">
        <f aca="false">E21*(E21+1)*H21</f>
        <v>528.235107961157</v>
      </c>
    </row>
    <row r="22" customFormat="false" ht="15" hidden="false" customHeight="false" outlineLevel="0" collapsed="false">
      <c r="A22" s="5" t="s">
        <v>317</v>
      </c>
      <c r="B22" s="20" t="n">
        <f aca="false">DURATION(B10,B11,B6,B9,B7,0)</f>
        <v>7.30098021391972</v>
      </c>
      <c r="C22" s="24" t="s">
        <v>318</v>
      </c>
      <c r="E22" s="18" t="n">
        <f aca="false">E21+1</f>
        <v>17</v>
      </c>
      <c r="F22" s="19" t="n">
        <f aca="false">E22/$B$7</f>
        <v>8.5</v>
      </c>
      <c r="G22" s="20" t="n">
        <f aca="false">IF(E22&lt;=$B$7*$B$8,$B$5*$B$6/$B$7+IF(E22=$B$7*$B$8,$B$5,0),0)</f>
        <v>3.5</v>
      </c>
      <c r="H22" s="20" t="n">
        <f aca="false">G22/(1+$B$9/$B$7)^E22</f>
        <v>1.87184659093252</v>
      </c>
      <c r="I22" s="28" t="n">
        <f aca="false">H22/$B$15</f>
        <v>0.0193921594281283</v>
      </c>
      <c r="J22" s="20" t="n">
        <f aca="false">E22*H22</f>
        <v>31.8213920458528</v>
      </c>
      <c r="K22" s="29" t="n">
        <f aca="false">E22*(E22+1)*H22</f>
        <v>572.785056825351</v>
      </c>
    </row>
    <row r="23" customFormat="false" ht="15" hidden="false" customHeight="false" outlineLevel="0" collapsed="false">
      <c r="A23" s="5" t="s">
        <v>319</v>
      </c>
      <c r="B23" s="20" t="n">
        <f aca="false">MDURATION(B10,B11,B6,B9,B7,0)</f>
        <v>7.03708936281418</v>
      </c>
      <c r="C23" s="24" t="s">
        <v>320</v>
      </c>
      <c r="E23" s="18" t="n">
        <f aca="false">E22+1</f>
        <v>18</v>
      </c>
      <c r="F23" s="19" t="n">
        <f aca="false">E23/$B$7</f>
        <v>9</v>
      </c>
      <c r="G23" s="20" t="n">
        <f aca="false">IF(E23&lt;=$B$7*$B$8,$B$5*$B$6/$B$7+IF(E23=$B$7*$B$8,$B$5,0),0)</f>
        <v>3.5</v>
      </c>
      <c r="H23" s="20" t="n">
        <f aca="false">G23/(1+$B$9/$B$7)^E23</f>
        <v>1.80418948523616</v>
      </c>
      <c r="I23" s="28" t="n">
        <f aca="false">H23/$B$15</f>
        <v>0.0186912380030152</v>
      </c>
      <c r="J23" s="20" t="n">
        <f aca="false">E23*H23</f>
        <v>32.4754107342509</v>
      </c>
      <c r="K23" s="29" t="n">
        <f aca="false">E23*(E23+1)*H23</f>
        <v>617.032803950768</v>
      </c>
    </row>
    <row r="24" customFormat="false" ht="15" hidden="false" customHeight="false" outlineLevel="0" collapsed="false">
      <c r="A24" s="11" t="s">
        <v>321</v>
      </c>
      <c r="E24" s="18" t="n">
        <f aca="false">E23+1</f>
        <v>19</v>
      </c>
      <c r="F24" s="19" t="n">
        <f aca="false">E24/$B$7</f>
        <v>9.5</v>
      </c>
      <c r="G24" s="20" t="n">
        <f aca="false">IF(E24&lt;=$B$7*$B$8,$B$5*$B$6/$B$7+IF(E24=$B$7*$B$8,$B$5,0),0)</f>
        <v>3.5</v>
      </c>
      <c r="H24" s="20" t="n">
        <f aca="false">G24/(1+$B$9/$B$7)^E24</f>
        <v>1.7389778170951</v>
      </c>
      <c r="I24" s="28" t="n">
        <f aca="false">H24/$B$15</f>
        <v>0.0180156510872436</v>
      </c>
      <c r="J24" s="20" t="n">
        <f aca="false">E24*H24</f>
        <v>33.0405785248068</v>
      </c>
      <c r="K24" s="29" t="n">
        <f aca="false">E24*(E24+1)*H24</f>
        <v>660.811570496136</v>
      </c>
    </row>
    <row r="25" customFormat="false" ht="15" hidden="false" customHeight="false" outlineLevel="0" collapsed="false">
      <c r="E25" s="18" t="n">
        <f aca="false">E24+1</f>
        <v>20</v>
      </c>
      <c r="F25" s="19" t="n">
        <f aca="false">E25/$B$7</f>
        <v>10</v>
      </c>
      <c r="G25" s="20" t="n">
        <f aca="false">IF(E25&lt;=$B$7*$B$8,$B$5*$B$6/$B$7+IF(E25=$B$7*$B$8,$B$5,0),0)</f>
        <v>103.5</v>
      </c>
      <c r="H25" s="20" t="n">
        <f aca="false">G25/(1+$B$9/$B$7)^E25</f>
        <v>49.565357402917</v>
      </c>
      <c r="I25" s="28" t="n">
        <f aca="false">H25/$B$15</f>
        <v>0.513492567994412</v>
      </c>
      <c r="J25" s="20" t="n">
        <f aca="false">E25*H25</f>
        <v>991.30714805834</v>
      </c>
      <c r="K25" s="29" t="n">
        <f aca="false">E25*(E25+1)*H25</f>
        <v>20817.4501092251</v>
      </c>
    </row>
    <row r="26" customFormat="false" ht="15" hidden="false" customHeight="false" outlineLevel="0" collapsed="false">
      <c r="A26" s="13" t="s">
        <v>322</v>
      </c>
      <c r="B26" s="14"/>
      <c r="C26" s="14"/>
      <c r="E26" s="18" t="n">
        <f aca="false">E25+1</f>
        <v>21</v>
      </c>
      <c r="F26" s="19" t="n">
        <f aca="false">E26/$B$7</f>
        <v>10.5</v>
      </c>
      <c r="G26" s="20" t="n">
        <f aca="false">IF(E26&lt;=$B$7*$B$8,$B$5*$B$6/$B$7+IF(E26=$B$7*$B$8,$B$5,0),0)</f>
        <v>0</v>
      </c>
      <c r="H26" s="20" t="n">
        <f aca="false">G26/(1+$B$9/$B$7)^E26</f>
        <v>0</v>
      </c>
      <c r="I26" s="28" t="n">
        <f aca="false">H26/$B$15</f>
        <v>0</v>
      </c>
      <c r="J26" s="20" t="n">
        <f aca="false">E26*H26</f>
        <v>0</v>
      </c>
      <c r="K26" s="29" t="n">
        <f aca="false">E26*(E26+1)*H26</f>
        <v>0</v>
      </c>
    </row>
    <row r="27" customFormat="false" ht="15" hidden="false" customHeight="false" outlineLevel="0" collapsed="false">
      <c r="A27" s="5" t="s">
        <v>323</v>
      </c>
      <c r="B27" s="20" t="n">
        <f aca="false">-PV((B9-B12)/B7,B7*B8,B5*B6/B7,B5)</f>
        <v>98.2433765445752</v>
      </c>
      <c r="C27" s="24" t="s">
        <v>324</v>
      </c>
      <c r="E27" s="18" t="n">
        <f aca="false">E26+1</f>
        <v>22</v>
      </c>
      <c r="F27" s="19" t="n">
        <f aca="false">E27/$B$7</f>
        <v>11</v>
      </c>
      <c r="G27" s="20" t="n">
        <f aca="false">IF(E27&lt;=$B$7*$B$8,$B$5*$B$6/$B$7+IF(E27=$B$7*$B$8,$B$5,0),0)</f>
        <v>0</v>
      </c>
      <c r="H27" s="20" t="n">
        <f aca="false">G27/(1+$B$9/$B$7)^E27</f>
        <v>0</v>
      </c>
      <c r="I27" s="28" t="n">
        <f aca="false">H27/$B$15</f>
        <v>0</v>
      </c>
      <c r="J27" s="20" t="n">
        <f aca="false">E27*H27</f>
        <v>0</v>
      </c>
      <c r="K27" s="29" t="n">
        <f aca="false">E27*(E27+1)*H27</f>
        <v>0</v>
      </c>
    </row>
    <row r="28" customFormat="false" ht="15" hidden="false" customHeight="false" outlineLevel="0" collapsed="false">
      <c r="A28" s="5" t="s">
        <v>325</v>
      </c>
      <c r="B28" s="20" t="n">
        <f aca="false">-PV(B9/B7,B7*B8,B5*B6/B7,B5)</f>
        <v>96.5259489470478</v>
      </c>
      <c r="C28" s="24" t="s">
        <v>326</v>
      </c>
      <c r="E28" s="18" t="n">
        <f aca="false">E27+1</f>
        <v>23</v>
      </c>
      <c r="F28" s="19" t="n">
        <f aca="false">E28/$B$7</f>
        <v>11.5</v>
      </c>
      <c r="G28" s="20" t="n">
        <f aca="false">IF(E28&lt;=$B$7*$B$8,$B$5*$B$6/$B$7+IF(E28=$B$7*$B$8,$B$5,0),0)</f>
        <v>0</v>
      </c>
      <c r="H28" s="20" t="n">
        <f aca="false">G28/(1+$B$9/$B$7)^E28</f>
        <v>0</v>
      </c>
      <c r="I28" s="28" t="n">
        <f aca="false">H28/$B$15</f>
        <v>0</v>
      </c>
      <c r="J28" s="20" t="n">
        <f aca="false">E28*H28</f>
        <v>0</v>
      </c>
      <c r="K28" s="29" t="n">
        <f aca="false">E28*(E28+1)*H28</f>
        <v>0</v>
      </c>
    </row>
    <row r="29" customFormat="false" ht="15" hidden="false" customHeight="false" outlineLevel="0" collapsed="false">
      <c r="A29" s="5" t="s">
        <v>327</v>
      </c>
      <c r="B29" s="20" t="n">
        <f aca="false">-PV((B9+B12)/B7,B7*B8,B5*B6/B7,B5)</f>
        <v>94.8467497019064</v>
      </c>
      <c r="C29" s="24" t="s">
        <v>328</v>
      </c>
      <c r="E29" s="18" t="n">
        <f aca="false">E28+1</f>
        <v>24</v>
      </c>
      <c r="F29" s="19" t="n">
        <f aca="false">E29/$B$7</f>
        <v>12</v>
      </c>
      <c r="G29" s="20" t="n">
        <f aca="false">IF(E29&lt;=$B$7*$B$8,$B$5*$B$6/$B$7+IF(E29=$B$7*$B$8,$B$5,0),0)</f>
        <v>0</v>
      </c>
      <c r="H29" s="20" t="n">
        <f aca="false">G29/(1+$B$9/$B$7)^E29</f>
        <v>0</v>
      </c>
      <c r="I29" s="28" t="n">
        <f aca="false">H29/$B$15</f>
        <v>0</v>
      </c>
      <c r="J29" s="20" t="n">
        <f aca="false">E29*H29</f>
        <v>0</v>
      </c>
      <c r="K29" s="29" t="n">
        <f aca="false">E29*(E29+1)*H29</f>
        <v>0</v>
      </c>
    </row>
    <row r="30" customFormat="false" ht="15" hidden="false" customHeight="false" outlineLevel="0" collapsed="false">
      <c r="A30" s="5" t="s">
        <v>329</v>
      </c>
      <c r="B30" s="26" t="n">
        <f aca="false">(B27-B29)/(2*B28*B12)</f>
        <v>7.03774866700802</v>
      </c>
      <c r="C30" s="24" t="s">
        <v>330</v>
      </c>
      <c r="E30" s="18" t="n">
        <f aca="false">E29+1</f>
        <v>25</v>
      </c>
      <c r="F30" s="19" t="n">
        <f aca="false">E30/$B$7</f>
        <v>12.5</v>
      </c>
      <c r="G30" s="20" t="n">
        <f aca="false">IF(E30&lt;=$B$7*$B$8,$B$5*$B$6/$B$7+IF(E30=$B$7*$B$8,$B$5,0),0)</f>
        <v>0</v>
      </c>
      <c r="H30" s="20" t="n">
        <f aca="false">G30/(1+$B$9/$B$7)^E30</f>
        <v>0</v>
      </c>
      <c r="I30" s="28" t="n">
        <f aca="false">H30/$B$15</f>
        <v>0</v>
      </c>
      <c r="J30" s="20" t="n">
        <f aca="false">E30*H30</f>
        <v>0</v>
      </c>
      <c r="K30" s="29" t="n">
        <f aca="false">E30*(E30+1)*H30</f>
        <v>0</v>
      </c>
    </row>
    <row r="31" customFormat="false" ht="15" hidden="false" customHeight="false" outlineLevel="0" collapsed="false">
      <c r="A31" s="5" t="s">
        <v>331</v>
      </c>
      <c r="B31" s="26" t="n">
        <f aca="false">(B27+B29-2*B28)/(B28*B12^2)</f>
        <v>63.3667573173593</v>
      </c>
      <c r="C31" s="24" t="s">
        <v>332</v>
      </c>
      <c r="E31" s="18" t="n">
        <f aca="false">E30+1</f>
        <v>26</v>
      </c>
      <c r="F31" s="19" t="n">
        <f aca="false">E31/$B$7</f>
        <v>13</v>
      </c>
      <c r="G31" s="20" t="n">
        <f aca="false">IF(E31&lt;=$B$7*$B$8,$B$5*$B$6/$B$7+IF(E31=$B$7*$B$8,$B$5,0),0)</f>
        <v>0</v>
      </c>
      <c r="H31" s="20" t="n">
        <f aca="false">G31/(1+$B$9/$B$7)^E31</f>
        <v>0</v>
      </c>
      <c r="I31" s="28" t="n">
        <f aca="false">H31/$B$15</f>
        <v>0</v>
      </c>
      <c r="J31" s="20" t="n">
        <f aca="false">E31*H31</f>
        <v>0</v>
      </c>
      <c r="K31" s="29" t="n">
        <f aca="false">E31*(E31+1)*H31</f>
        <v>0</v>
      </c>
    </row>
    <row r="32" customFormat="false" ht="15" hidden="false" customHeight="false" outlineLevel="0" collapsed="false">
      <c r="E32" s="18" t="n">
        <f aca="false">E31+1</f>
        <v>27</v>
      </c>
      <c r="F32" s="19" t="n">
        <f aca="false">E32/$B$7</f>
        <v>13.5</v>
      </c>
      <c r="G32" s="20" t="n">
        <f aca="false">IF(E32&lt;=$B$7*$B$8,$B$5*$B$6/$B$7+IF(E32=$B$7*$B$8,$B$5,0),0)</f>
        <v>0</v>
      </c>
      <c r="H32" s="20" t="n">
        <f aca="false">G32/(1+$B$9/$B$7)^E32</f>
        <v>0</v>
      </c>
      <c r="I32" s="28" t="n">
        <f aca="false">H32/$B$15</f>
        <v>0</v>
      </c>
      <c r="J32" s="20" t="n">
        <f aca="false">E32*H32</f>
        <v>0</v>
      </c>
      <c r="K32" s="29" t="n">
        <f aca="false">E32*(E32+1)*H32</f>
        <v>0</v>
      </c>
    </row>
    <row r="33" customFormat="false" ht="15" hidden="false" customHeight="false" outlineLevel="0" collapsed="false">
      <c r="A33" s="13" t="s">
        <v>333</v>
      </c>
      <c r="B33" s="14"/>
      <c r="C33" s="14"/>
      <c r="E33" s="18" t="n">
        <f aca="false">E32+1</f>
        <v>28</v>
      </c>
      <c r="F33" s="19" t="n">
        <f aca="false">E33/$B$7</f>
        <v>14</v>
      </c>
      <c r="G33" s="20" t="n">
        <f aca="false">IF(E33&lt;=$B$7*$B$8,$B$5*$B$6/$B$7+IF(E33=$B$7*$B$8,$B$5,0),0)</f>
        <v>0</v>
      </c>
      <c r="H33" s="20" t="n">
        <f aca="false">G33/(1+$B$9/$B$7)^E33</f>
        <v>0</v>
      </c>
      <c r="I33" s="28" t="n">
        <f aca="false">H33/$B$15</f>
        <v>0</v>
      </c>
      <c r="J33" s="20" t="n">
        <f aca="false">E33*H33</f>
        <v>0</v>
      </c>
      <c r="K33" s="29" t="n">
        <f aca="false">E33*(E33+1)*H33</f>
        <v>0</v>
      </c>
    </row>
    <row r="34" customFormat="false" ht="15" hidden="false" customHeight="false" outlineLevel="0" collapsed="false">
      <c r="A34" s="5" t="s">
        <v>334</v>
      </c>
      <c r="B34" s="17" t="n">
        <v>0.01</v>
      </c>
      <c r="E34" s="18" t="n">
        <f aca="false">E33+1</f>
        <v>29</v>
      </c>
      <c r="F34" s="19" t="n">
        <f aca="false">E34/$B$7</f>
        <v>14.5</v>
      </c>
      <c r="G34" s="20" t="n">
        <f aca="false">IF(E34&lt;=$B$7*$B$8,$B$5*$B$6/$B$7+IF(E34=$B$7*$B$8,$B$5,0),0)</f>
        <v>0</v>
      </c>
      <c r="H34" s="20" t="n">
        <f aca="false">G34/(1+$B$9/$B$7)^E34</f>
        <v>0</v>
      </c>
      <c r="I34" s="28" t="n">
        <f aca="false">H34/$B$15</f>
        <v>0</v>
      </c>
      <c r="J34" s="20" t="n">
        <f aca="false">E34*H34</f>
        <v>0</v>
      </c>
      <c r="K34" s="29" t="n">
        <f aca="false">E34*(E34+1)*H34</f>
        <v>0</v>
      </c>
    </row>
    <row r="35" customFormat="false" ht="15" hidden="false" customHeight="false" outlineLevel="0" collapsed="false">
      <c r="A35" s="5" t="s">
        <v>335</v>
      </c>
      <c r="B35" s="25" t="n">
        <f aca="false">-B30*B34</f>
        <v>-0.0703774866700802</v>
      </c>
      <c r="C35" s="24" t="s">
        <v>336</v>
      </c>
      <c r="E35" s="18" t="n">
        <f aca="false">E34+1</f>
        <v>30</v>
      </c>
      <c r="F35" s="19" t="n">
        <f aca="false">E35/$B$7</f>
        <v>15</v>
      </c>
      <c r="G35" s="20" t="n">
        <f aca="false">IF(E35&lt;=$B$7*$B$8,$B$5*$B$6/$B$7+IF(E35=$B$7*$B$8,$B$5,0),0)</f>
        <v>0</v>
      </c>
      <c r="H35" s="20" t="n">
        <f aca="false">G35/(1+$B$9/$B$7)^E35</f>
        <v>0</v>
      </c>
      <c r="I35" s="28" t="n">
        <f aca="false">H35/$B$15</f>
        <v>0</v>
      </c>
      <c r="J35" s="20" t="n">
        <f aca="false">E35*H35</f>
        <v>0</v>
      </c>
      <c r="K35" s="29" t="n">
        <f aca="false">E35*(E35+1)*H35</f>
        <v>0</v>
      </c>
    </row>
    <row r="36" customFormat="false" ht="15" hidden="false" customHeight="false" outlineLevel="0" collapsed="false">
      <c r="A36" s="5" t="s">
        <v>337</v>
      </c>
      <c r="B36" s="25" t="n">
        <f aca="false">0.5*B31*B34^2</f>
        <v>0.00316833786586797</v>
      </c>
      <c r="C36" s="24" t="s">
        <v>338</v>
      </c>
      <c r="E36" s="18" t="n">
        <f aca="false">E35+1</f>
        <v>31</v>
      </c>
      <c r="F36" s="19" t="n">
        <f aca="false">E36/$B$7</f>
        <v>15.5</v>
      </c>
      <c r="G36" s="20" t="n">
        <f aca="false">IF(E36&lt;=$B$7*$B$8,$B$5*$B$6/$B$7+IF(E36=$B$7*$B$8,$B$5,0),0)</f>
        <v>0</v>
      </c>
      <c r="H36" s="20" t="n">
        <f aca="false">G36/(1+$B$9/$B$7)^E36</f>
        <v>0</v>
      </c>
      <c r="I36" s="28" t="n">
        <f aca="false">H36/$B$15</f>
        <v>0</v>
      </c>
      <c r="J36" s="20" t="n">
        <f aca="false">E36*H36</f>
        <v>0</v>
      </c>
      <c r="K36" s="29" t="n">
        <f aca="false">E36*(E36+1)*H36</f>
        <v>0</v>
      </c>
    </row>
    <row r="37" customFormat="false" ht="15" hidden="false" customHeight="false" outlineLevel="0" collapsed="false">
      <c r="A37" s="5" t="s">
        <v>339</v>
      </c>
      <c r="B37" s="33" t="n">
        <f aca="false">B35+B36</f>
        <v>-0.0672091488042123</v>
      </c>
      <c r="C37" s="24" t="s">
        <v>340</v>
      </c>
      <c r="E37" s="18" t="n">
        <f aca="false">E36+1</f>
        <v>32</v>
      </c>
      <c r="F37" s="19" t="n">
        <f aca="false">E37/$B$7</f>
        <v>16</v>
      </c>
      <c r="G37" s="20" t="n">
        <f aca="false">IF(E37&lt;=$B$7*$B$8,$B$5*$B$6/$B$7+IF(E37=$B$7*$B$8,$B$5,0),0)</f>
        <v>0</v>
      </c>
      <c r="H37" s="20" t="n">
        <f aca="false">G37/(1+$B$9/$B$7)^E37</f>
        <v>0</v>
      </c>
      <c r="I37" s="28" t="n">
        <f aca="false">H37/$B$15</f>
        <v>0</v>
      </c>
      <c r="J37" s="20" t="n">
        <f aca="false">E37*H37</f>
        <v>0</v>
      </c>
      <c r="K37" s="29" t="n">
        <f aca="false">E37*(E37+1)*H37</f>
        <v>0</v>
      </c>
    </row>
    <row r="38" customFormat="false" ht="15" hidden="false" customHeight="false" outlineLevel="0" collapsed="false">
      <c r="A38" s="5" t="s">
        <v>341</v>
      </c>
      <c r="B38" s="20" t="n">
        <f aca="false">B28*(1+B37)</f>
        <v>90.0385220807979</v>
      </c>
      <c r="C38" s="24" t="s">
        <v>342</v>
      </c>
      <c r="E38" s="18" t="n">
        <f aca="false">E37+1</f>
        <v>33</v>
      </c>
      <c r="F38" s="19" t="n">
        <f aca="false">E38/$B$7</f>
        <v>16.5</v>
      </c>
      <c r="G38" s="20" t="n">
        <f aca="false">IF(E38&lt;=$B$7*$B$8,$B$5*$B$6/$B$7+IF(E38=$B$7*$B$8,$B$5,0),0)</f>
        <v>0</v>
      </c>
      <c r="H38" s="20" t="n">
        <f aca="false">G38/(1+$B$9/$B$7)^E38</f>
        <v>0</v>
      </c>
      <c r="I38" s="28" t="n">
        <f aca="false">H38/$B$15</f>
        <v>0</v>
      </c>
      <c r="J38" s="20" t="n">
        <f aca="false">E38*H38</f>
        <v>0</v>
      </c>
      <c r="K38" s="29" t="n">
        <f aca="false">E38*(E38+1)*H38</f>
        <v>0</v>
      </c>
    </row>
    <row r="39" customFormat="false" ht="15" hidden="false" customHeight="false" outlineLevel="0" collapsed="false">
      <c r="A39" s="5" t="s">
        <v>343</v>
      </c>
      <c r="B39" s="26" t="n">
        <f aca="false">-PV((B9+B34)/B7,B7*B8,B5*B6/B7,B5)</f>
        <v>90.0292256438479</v>
      </c>
      <c r="C39" s="24" t="s">
        <v>344</v>
      </c>
      <c r="E39" s="18" t="n">
        <f aca="false">E38+1</f>
        <v>34</v>
      </c>
      <c r="F39" s="19" t="n">
        <f aca="false">E39/$B$7</f>
        <v>17</v>
      </c>
      <c r="G39" s="20" t="n">
        <f aca="false">IF(E39&lt;=$B$7*$B$8,$B$5*$B$6/$B$7+IF(E39=$B$7*$B$8,$B$5,0),0)</f>
        <v>0</v>
      </c>
      <c r="H39" s="20" t="n">
        <f aca="false">G39/(1+$B$9/$B$7)^E39</f>
        <v>0</v>
      </c>
      <c r="I39" s="28" t="n">
        <f aca="false">H39/$B$15</f>
        <v>0</v>
      </c>
      <c r="J39" s="20" t="n">
        <f aca="false">E39*H39</f>
        <v>0</v>
      </c>
      <c r="K39" s="29" t="n">
        <f aca="false">E39*(E39+1)*H39</f>
        <v>0</v>
      </c>
    </row>
    <row r="40" customFormat="false" ht="15" hidden="false" customHeight="false" outlineLevel="0" collapsed="false">
      <c r="A40" s="5" t="s">
        <v>345</v>
      </c>
      <c r="B40" s="20" t="n">
        <f aca="false">B38-B39</f>
        <v>0.00929643694995264</v>
      </c>
      <c r="C40" s="24" t="s">
        <v>346</v>
      </c>
      <c r="E40" s="18" t="n">
        <f aca="false">E39+1</f>
        <v>35</v>
      </c>
      <c r="F40" s="19" t="n">
        <f aca="false">E40/$B$7</f>
        <v>17.5</v>
      </c>
      <c r="G40" s="20" t="n">
        <f aca="false">IF(E40&lt;=$B$7*$B$8,$B$5*$B$6/$B$7+IF(E40=$B$7*$B$8,$B$5,0),0)</f>
        <v>0</v>
      </c>
      <c r="H40" s="20" t="n">
        <f aca="false">G40/(1+$B$9/$B$7)^E40</f>
        <v>0</v>
      </c>
      <c r="I40" s="28" t="n">
        <f aca="false">H40/$B$15</f>
        <v>0</v>
      </c>
      <c r="J40" s="20" t="n">
        <f aca="false">E40*H40</f>
        <v>0</v>
      </c>
      <c r="K40" s="29" t="n">
        <f aca="false">E40*(E40+1)*H40</f>
        <v>0</v>
      </c>
    </row>
    <row r="41" customFormat="false" ht="15" hidden="false" customHeight="false" outlineLevel="0" collapsed="false">
      <c r="E41" s="18" t="n">
        <f aca="false">E40+1</f>
        <v>36</v>
      </c>
      <c r="F41" s="19" t="n">
        <f aca="false">E41/$B$7</f>
        <v>18</v>
      </c>
      <c r="G41" s="20" t="n">
        <f aca="false">IF(E41&lt;=$B$7*$B$8,$B$5*$B$6/$B$7+IF(E41=$B$7*$B$8,$B$5,0),0)</f>
        <v>0</v>
      </c>
      <c r="H41" s="20" t="n">
        <f aca="false">G41/(1+$B$9/$B$7)^E41</f>
        <v>0</v>
      </c>
      <c r="I41" s="28" t="n">
        <f aca="false">H41/$B$15</f>
        <v>0</v>
      </c>
      <c r="J41" s="20" t="n">
        <f aca="false">E41*H41</f>
        <v>0</v>
      </c>
      <c r="K41" s="29" t="n">
        <f aca="false">E41*(E41+1)*H41</f>
        <v>0</v>
      </c>
    </row>
    <row r="42" customFormat="false" ht="15" hidden="false" customHeight="false" outlineLevel="0" collapsed="false">
      <c r="E42" s="18" t="n">
        <f aca="false">E41+1</f>
        <v>37</v>
      </c>
      <c r="F42" s="19" t="n">
        <f aca="false">E42/$B$7</f>
        <v>18.5</v>
      </c>
      <c r="G42" s="20" t="n">
        <f aca="false">IF(E42&lt;=$B$7*$B$8,$B$5*$B$6/$B$7+IF(E42=$B$7*$B$8,$B$5,0),0)</f>
        <v>0</v>
      </c>
      <c r="H42" s="20" t="n">
        <f aca="false">G42/(1+$B$9/$B$7)^E42</f>
        <v>0</v>
      </c>
      <c r="I42" s="28" t="n">
        <f aca="false">H42/$B$15</f>
        <v>0</v>
      </c>
      <c r="J42" s="20" t="n">
        <f aca="false">E42*H42</f>
        <v>0</v>
      </c>
      <c r="K42" s="29" t="n">
        <f aca="false">E42*(E42+1)*H42</f>
        <v>0</v>
      </c>
    </row>
    <row r="43" customFormat="false" ht="15" hidden="false" customHeight="false" outlineLevel="0" collapsed="false">
      <c r="E43" s="18" t="n">
        <f aca="false">E42+1</f>
        <v>38</v>
      </c>
      <c r="F43" s="19" t="n">
        <f aca="false">E43/$B$7</f>
        <v>19</v>
      </c>
      <c r="G43" s="20" t="n">
        <f aca="false">IF(E43&lt;=$B$7*$B$8,$B$5*$B$6/$B$7+IF(E43=$B$7*$B$8,$B$5,0),0)</f>
        <v>0</v>
      </c>
      <c r="H43" s="20" t="n">
        <f aca="false">G43/(1+$B$9/$B$7)^E43</f>
        <v>0</v>
      </c>
      <c r="I43" s="28" t="n">
        <f aca="false">H43/$B$15</f>
        <v>0</v>
      </c>
      <c r="J43" s="20" t="n">
        <f aca="false">E43*H43</f>
        <v>0</v>
      </c>
      <c r="K43" s="29" t="n">
        <f aca="false">E43*(E43+1)*H43</f>
        <v>0</v>
      </c>
    </row>
    <row r="44" customFormat="false" ht="15" hidden="false" customHeight="false" outlineLevel="0" collapsed="false">
      <c r="E44" s="18" t="n">
        <f aca="false">E43+1</f>
        <v>39</v>
      </c>
      <c r="F44" s="19" t="n">
        <f aca="false">E44/$B$7</f>
        <v>19.5</v>
      </c>
      <c r="G44" s="20" t="n">
        <f aca="false">IF(E44&lt;=$B$7*$B$8,$B$5*$B$6/$B$7+IF(E44=$B$7*$B$8,$B$5,0),0)</f>
        <v>0</v>
      </c>
      <c r="H44" s="20" t="n">
        <f aca="false">G44/(1+$B$9/$B$7)^E44</f>
        <v>0</v>
      </c>
      <c r="I44" s="28" t="n">
        <f aca="false">H44/$B$15</f>
        <v>0</v>
      </c>
      <c r="J44" s="20" t="n">
        <f aca="false">E44*H44</f>
        <v>0</v>
      </c>
      <c r="K44" s="29" t="n">
        <f aca="false">E44*(E44+1)*H44</f>
        <v>0</v>
      </c>
    </row>
    <row r="45" customFormat="false" ht="15" hidden="false" customHeight="false" outlineLevel="0" collapsed="false">
      <c r="E45" s="18" t="n">
        <f aca="false">E44+1</f>
        <v>40</v>
      </c>
      <c r="F45" s="19" t="n">
        <f aca="false">E45/$B$7</f>
        <v>20</v>
      </c>
      <c r="G45" s="20" t="n">
        <f aca="false">IF(E45&lt;=$B$7*$B$8,$B$5*$B$6/$B$7+IF(E45=$B$7*$B$8,$B$5,0),0)</f>
        <v>0</v>
      </c>
      <c r="H45" s="20" t="n">
        <f aca="false">G45/(1+$B$9/$B$7)^E45</f>
        <v>0</v>
      </c>
      <c r="I45" s="28" t="n">
        <f aca="false">H45/$B$15</f>
        <v>0</v>
      </c>
      <c r="J45" s="20" t="n">
        <f aca="false">E45*H45</f>
        <v>0</v>
      </c>
      <c r="K45" s="29" t="n">
        <f aca="false">E45*(E45+1)*H45</f>
        <v>0</v>
      </c>
    </row>
    <row r="46" customFormat="false" ht="15" hidden="false" customHeight="false" outlineLevel="0" collapsed="false">
      <c r="E46" s="18" t="n">
        <f aca="false">E45+1</f>
        <v>41</v>
      </c>
      <c r="F46" s="19" t="n">
        <f aca="false">E46/$B$7</f>
        <v>20.5</v>
      </c>
      <c r="G46" s="20" t="n">
        <f aca="false">IF(E46&lt;=$B$7*$B$8,$B$5*$B$6/$B$7+IF(E46=$B$7*$B$8,$B$5,0),0)</f>
        <v>0</v>
      </c>
      <c r="H46" s="20" t="n">
        <f aca="false">G46/(1+$B$9/$B$7)^E46</f>
        <v>0</v>
      </c>
      <c r="I46" s="28" t="n">
        <f aca="false">H46/$B$15</f>
        <v>0</v>
      </c>
      <c r="J46" s="20" t="n">
        <f aca="false">E46*H46</f>
        <v>0</v>
      </c>
      <c r="K46" s="29" t="n">
        <f aca="false">E46*(E46+1)*H46</f>
        <v>0</v>
      </c>
    </row>
    <row r="47" customFormat="false" ht="15" hidden="false" customHeight="false" outlineLevel="0" collapsed="false">
      <c r="E47" s="18" t="n">
        <f aca="false">E46+1</f>
        <v>42</v>
      </c>
      <c r="F47" s="19" t="n">
        <f aca="false">E47/$B$7</f>
        <v>21</v>
      </c>
      <c r="G47" s="20" t="n">
        <f aca="false">IF(E47&lt;=$B$7*$B$8,$B$5*$B$6/$B$7+IF(E47=$B$7*$B$8,$B$5,0),0)</f>
        <v>0</v>
      </c>
      <c r="H47" s="20" t="n">
        <f aca="false">G47/(1+$B$9/$B$7)^E47</f>
        <v>0</v>
      </c>
      <c r="I47" s="28" t="n">
        <f aca="false">H47/$B$15</f>
        <v>0</v>
      </c>
      <c r="J47" s="20" t="n">
        <f aca="false">E47*H47</f>
        <v>0</v>
      </c>
      <c r="K47" s="29" t="n">
        <f aca="false">E47*(E47+1)*H47</f>
        <v>0</v>
      </c>
    </row>
    <row r="48" customFormat="false" ht="15" hidden="false" customHeight="false" outlineLevel="0" collapsed="false">
      <c r="E48" s="18" t="n">
        <f aca="false">E47+1</f>
        <v>43</v>
      </c>
      <c r="F48" s="19" t="n">
        <f aca="false">E48/$B$7</f>
        <v>21.5</v>
      </c>
      <c r="G48" s="20" t="n">
        <f aca="false">IF(E48&lt;=$B$7*$B$8,$B$5*$B$6/$B$7+IF(E48=$B$7*$B$8,$B$5,0),0)</f>
        <v>0</v>
      </c>
      <c r="H48" s="20" t="n">
        <f aca="false">G48/(1+$B$9/$B$7)^E48</f>
        <v>0</v>
      </c>
      <c r="I48" s="28" t="n">
        <f aca="false">H48/$B$15</f>
        <v>0</v>
      </c>
      <c r="J48" s="20" t="n">
        <f aca="false">E48*H48</f>
        <v>0</v>
      </c>
      <c r="K48" s="29" t="n">
        <f aca="false">E48*(E48+1)*H48</f>
        <v>0</v>
      </c>
    </row>
    <row r="49" customFormat="false" ht="15" hidden="false" customHeight="false" outlineLevel="0" collapsed="false">
      <c r="E49" s="18" t="n">
        <f aca="false">E48+1</f>
        <v>44</v>
      </c>
      <c r="F49" s="19" t="n">
        <f aca="false">E49/$B$7</f>
        <v>22</v>
      </c>
      <c r="G49" s="20" t="n">
        <f aca="false">IF(E49&lt;=$B$7*$B$8,$B$5*$B$6/$B$7+IF(E49=$B$7*$B$8,$B$5,0),0)</f>
        <v>0</v>
      </c>
      <c r="H49" s="20" t="n">
        <f aca="false">G49/(1+$B$9/$B$7)^E49</f>
        <v>0</v>
      </c>
      <c r="I49" s="28" t="n">
        <f aca="false">H49/$B$15</f>
        <v>0</v>
      </c>
      <c r="J49" s="20" t="n">
        <f aca="false">E49*H49</f>
        <v>0</v>
      </c>
      <c r="K49" s="29" t="n">
        <f aca="false">E49*(E49+1)*H49</f>
        <v>0</v>
      </c>
    </row>
    <row r="50" customFormat="false" ht="15" hidden="false" customHeight="false" outlineLevel="0" collapsed="false">
      <c r="E50" s="18" t="n">
        <f aca="false">E49+1</f>
        <v>45</v>
      </c>
      <c r="F50" s="19" t="n">
        <f aca="false">E50/$B$7</f>
        <v>22.5</v>
      </c>
      <c r="G50" s="20" t="n">
        <f aca="false">IF(E50&lt;=$B$7*$B$8,$B$5*$B$6/$B$7+IF(E50=$B$7*$B$8,$B$5,0),0)</f>
        <v>0</v>
      </c>
      <c r="H50" s="20" t="n">
        <f aca="false">G50/(1+$B$9/$B$7)^E50</f>
        <v>0</v>
      </c>
      <c r="I50" s="28" t="n">
        <f aca="false">H50/$B$15</f>
        <v>0</v>
      </c>
      <c r="J50" s="20" t="n">
        <f aca="false">E50*H50</f>
        <v>0</v>
      </c>
      <c r="K50" s="29" t="n">
        <f aca="false">E50*(E50+1)*H50</f>
        <v>0</v>
      </c>
    </row>
    <row r="51" customFormat="false" ht="15" hidden="false" customHeight="false" outlineLevel="0" collapsed="false">
      <c r="E51" s="18" t="n">
        <f aca="false">E50+1</f>
        <v>46</v>
      </c>
      <c r="F51" s="19" t="n">
        <f aca="false">E51/$B$7</f>
        <v>23</v>
      </c>
      <c r="G51" s="20" t="n">
        <f aca="false">IF(E51&lt;=$B$7*$B$8,$B$5*$B$6/$B$7+IF(E51=$B$7*$B$8,$B$5,0),0)</f>
        <v>0</v>
      </c>
      <c r="H51" s="20" t="n">
        <f aca="false">G51/(1+$B$9/$B$7)^E51</f>
        <v>0</v>
      </c>
      <c r="I51" s="28" t="n">
        <f aca="false">H51/$B$15</f>
        <v>0</v>
      </c>
      <c r="J51" s="20" t="n">
        <f aca="false">E51*H51</f>
        <v>0</v>
      </c>
      <c r="K51" s="29" t="n">
        <f aca="false">E51*(E51+1)*H51</f>
        <v>0</v>
      </c>
    </row>
    <row r="52" customFormat="false" ht="15" hidden="false" customHeight="false" outlineLevel="0" collapsed="false">
      <c r="E52" s="18" t="n">
        <f aca="false">E51+1</f>
        <v>47</v>
      </c>
      <c r="F52" s="19" t="n">
        <f aca="false">E52/$B$7</f>
        <v>23.5</v>
      </c>
      <c r="G52" s="20" t="n">
        <f aca="false">IF(E52&lt;=$B$7*$B$8,$B$5*$B$6/$B$7+IF(E52=$B$7*$B$8,$B$5,0),0)</f>
        <v>0</v>
      </c>
      <c r="H52" s="20" t="n">
        <f aca="false">G52/(1+$B$9/$B$7)^E52</f>
        <v>0</v>
      </c>
      <c r="I52" s="28" t="n">
        <f aca="false">H52/$B$15</f>
        <v>0</v>
      </c>
      <c r="J52" s="20" t="n">
        <f aca="false">E52*H52</f>
        <v>0</v>
      </c>
      <c r="K52" s="29" t="n">
        <f aca="false">E52*(E52+1)*H52</f>
        <v>0</v>
      </c>
    </row>
    <row r="53" customFormat="false" ht="15" hidden="false" customHeight="false" outlineLevel="0" collapsed="false">
      <c r="E53" s="18" t="n">
        <f aca="false">E52+1</f>
        <v>48</v>
      </c>
      <c r="F53" s="19" t="n">
        <f aca="false">E53/$B$7</f>
        <v>24</v>
      </c>
      <c r="G53" s="20" t="n">
        <f aca="false">IF(E53&lt;=$B$7*$B$8,$B$5*$B$6/$B$7+IF(E53=$B$7*$B$8,$B$5,0),0)</f>
        <v>0</v>
      </c>
      <c r="H53" s="20" t="n">
        <f aca="false">G53/(1+$B$9/$B$7)^E53</f>
        <v>0</v>
      </c>
      <c r="I53" s="28" t="n">
        <f aca="false">H53/$B$15</f>
        <v>0</v>
      </c>
      <c r="J53" s="20" t="n">
        <f aca="false">E53*H53</f>
        <v>0</v>
      </c>
      <c r="K53" s="29" t="n">
        <f aca="false">E53*(E53+1)*H53</f>
        <v>0</v>
      </c>
    </row>
    <row r="54" customFormat="false" ht="15" hidden="false" customHeight="false" outlineLevel="0" collapsed="false">
      <c r="E54" s="18" t="n">
        <f aca="false">E53+1</f>
        <v>49</v>
      </c>
      <c r="F54" s="19" t="n">
        <f aca="false">E54/$B$7</f>
        <v>24.5</v>
      </c>
      <c r="G54" s="20" t="n">
        <f aca="false">IF(E54&lt;=$B$7*$B$8,$B$5*$B$6/$B$7+IF(E54=$B$7*$B$8,$B$5,0),0)</f>
        <v>0</v>
      </c>
      <c r="H54" s="20" t="n">
        <f aca="false">G54/(1+$B$9/$B$7)^E54</f>
        <v>0</v>
      </c>
      <c r="I54" s="28" t="n">
        <f aca="false">H54/$B$15</f>
        <v>0</v>
      </c>
      <c r="J54" s="20" t="n">
        <f aca="false">E54*H54</f>
        <v>0</v>
      </c>
      <c r="K54" s="29" t="n">
        <f aca="false">E54*(E54+1)*H54</f>
        <v>0</v>
      </c>
    </row>
    <row r="55" customFormat="false" ht="15" hidden="false" customHeight="false" outlineLevel="0" collapsed="false">
      <c r="E55" s="18" t="n">
        <f aca="false">E54+1</f>
        <v>50</v>
      </c>
      <c r="F55" s="19" t="n">
        <f aca="false">E55/$B$7</f>
        <v>25</v>
      </c>
      <c r="G55" s="20" t="n">
        <f aca="false">IF(E55&lt;=$B$7*$B$8,$B$5*$B$6/$B$7+IF(E55=$B$7*$B$8,$B$5,0),0)</f>
        <v>0</v>
      </c>
      <c r="H55" s="20" t="n">
        <f aca="false">G55/(1+$B$9/$B$7)^E55</f>
        <v>0</v>
      </c>
      <c r="I55" s="28" t="n">
        <f aca="false">H55/$B$15</f>
        <v>0</v>
      </c>
      <c r="J55" s="20" t="n">
        <f aca="false">E55*H55</f>
        <v>0</v>
      </c>
      <c r="K55" s="29" t="n">
        <f aca="false">E55*(E55+1)*H55</f>
        <v>0</v>
      </c>
    </row>
    <row r="56" customFormat="false" ht="15" hidden="false" customHeight="false" outlineLevel="0" collapsed="false">
      <c r="E56" s="18" t="n">
        <f aca="false">E55+1</f>
        <v>51</v>
      </c>
      <c r="F56" s="19" t="n">
        <f aca="false">E56/$B$7</f>
        <v>25.5</v>
      </c>
      <c r="G56" s="20" t="n">
        <f aca="false">IF(E56&lt;=$B$7*$B$8,$B$5*$B$6/$B$7+IF(E56=$B$7*$B$8,$B$5,0),0)</f>
        <v>0</v>
      </c>
      <c r="H56" s="20" t="n">
        <f aca="false">G56/(1+$B$9/$B$7)^E56</f>
        <v>0</v>
      </c>
      <c r="I56" s="28" t="n">
        <f aca="false">H56/$B$15</f>
        <v>0</v>
      </c>
      <c r="J56" s="20" t="n">
        <f aca="false">E56*H56</f>
        <v>0</v>
      </c>
      <c r="K56" s="29" t="n">
        <f aca="false">E56*(E56+1)*H56</f>
        <v>0</v>
      </c>
    </row>
    <row r="57" customFormat="false" ht="15" hidden="false" customHeight="false" outlineLevel="0" collapsed="false">
      <c r="E57" s="18" t="n">
        <f aca="false">E56+1</f>
        <v>52</v>
      </c>
      <c r="F57" s="19" t="n">
        <f aca="false">E57/$B$7</f>
        <v>26</v>
      </c>
      <c r="G57" s="20" t="n">
        <f aca="false">IF(E57&lt;=$B$7*$B$8,$B$5*$B$6/$B$7+IF(E57=$B$7*$B$8,$B$5,0),0)</f>
        <v>0</v>
      </c>
      <c r="H57" s="20" t="n">
        <f aca="false">G57/(1+$B$9/$B$7)^E57</f>
        <v>0</v>
      </c>
      <c r="I57" s="28" t="n">
        <f aca="false">H57/$B$15</f>
        <v>0</v>
      </c>
      <c r="J57" s="20" t="n">
        <f aca="false">E57*H57</f>
        <v>0</v>
      </c>
      <c r="K57" s="29" t="n">
        <f aca="false">E57*(E57+1)*H57</f>
        <v>0</v>
      </c>
    </row>
    <row r="58" customFormat="false" ht="15" hidden="false" customHeight="false" outlineLevel="0" collapsed="false">
      <c r="E58" s="18" t="n">
        <f aca="false">E57+1</f>
        <v>53</v>
      </c>
      <c r="F58" s="19" t="n">
        <f aca="false">E58/$B$7</f>
        <v>26.5</v>
      </c>
      <c r="G58" s="20" t="n">
        <f aca="false">IF(E58&lt;=$B$7*$B$8,$B$5*$B$6/$B$7+IF(E58=$B$7*$B$8,$B$5,0),0)</f>
        <v>0</v>
      </c>
      <c r="H58" s="20" t="n">
        <f aca="false">G58/(1+$B$9/$B$7)^E58</f>
        <v>0</v>
      </c>
      <c r="I58" s="28" t="n">
        <f aca="false">H58/$B$15</f>
        <v>0</v>
      </c>
      <c r="J58" s="20" t="n">
        <f aca="false">E58*H58</f>
        <v>0</v>
      </c>
      <c r="K58" s="29" t="n">
        <f aca="false">E58*(E58+1)*H58</f>
        <v>0</v>
      </c>
    </row>
    <row r="59" customFormat="false" ht="15" hidden="false" customHeight="false" outlineLevel="0" collapsed="false">
      <c r="E59" s="18" t="n">
        <f aca="false">E58+1</f>
        <v>54</v>
      </c>
      <c r="F59" s="19" t="n">
        <f aca="false">E59/$B$7</f>
        <v>27</v>
      </c>
      <c r="G59" s="20" t="n">
        <f aca="false">IF(E59&lt;=$B$7*$B$8,$B$5*$B$6/$B$7+IF(E59=$B$7*$B$8,$B$5,0),0)</f>
        <v>0</v>
      </c>
      <c r="H59" s="20" t="n">
        <f aca="false">G59/(1+$B$9/$B$7)^E59</f>
        <v>0</v>
      </c>
      <c r="I59" s="28" t="n">
        <f aca="false">H59/$B$15</f>
        <v>0</v>
      </c>
      <c r="J59" s="20" t="n">
        <f aca="false">E59*H59</f>
        <v>0</v>
      </c>
      <c r="K59" s="29" t="n">
        <f aca="false">E59*(E59+1)*H59</f>
        <v>0</v>
      </c>
    </row>
    <row r="60" customFormat="false" ht="15" hidden="false" customHeight="false" outlineLevel="0" collapsed="false">
      <c r="E60" s="18" t="n">
        <f aca="false">E59+1</f>
        <v>55</v>
      </c>
      <c r="F60" s="19" t="n">
        <f aca="false">E60/$B$7</f>
        <v>27.5</v>
      </c>
      <c r="G60" s="20" t="n">
        <f aca="false">IF(E60&lt;=$B$7*$B$8,$B$5*$B$6/$B$7+IF(E60=$B$7*$B$8,$B$5,0),0)</f>
        <v>0</v>
      </c>
      <c r="H60" s="20" t="n">
        <f aca="false">G60/(1+$B$9/$B$7)^E60</f>
        <v>0</v>
      </c>
      <c r="I60" s="28" t="n">
        <f aca="false">H60/$B$15</f>
        <v>0</v>
      </c>
      <c r="J60" s="20" t="n">
        <f aca="false">E60*H60</f>
        <v>0</v>
      </c>
      <c r="K60" s="29" t="n">
        <f aca="false">E60*(E60+1)*H60</f>
        <v>0</v>
      </c>
    </row>
    <row r="61" customFormat="false" ht="15" hidden="false" customHeight="false" outlineLevel="0" collapsed="false">
      <c r="E61" s="18" t="n">
        <f aca="false">E60+1</f>
        <v>56</v>
      </c>
      <c r="F61" s="19" t="n">
        <f aca="false">E61/$B$7</f>
        <v>28</v>
      </c>
      <c r="G61" s="20" t="n">
        <f aca="false">IF(E61&lt;=$B$7*$B$8,$B$5*$B$6/$B$7+IF(E61=$B$7*$B$8,$B$5,0),0)</f>
        <v>0</v>
      </c>
      <c r="H61" s="20" t="n">
        <f aca="false">G61/(1+$B$9/$B$7)^E61</f>
        <v>0</v>
      </c>
      <c r="I61" s="28" t="n">
        <f aca="false">H61/$B$15</f>
        <v>0</v>
      </c>
      <c r="J61" s="20" t="n">
        <f aca="false">E61*H61</f>
        <v>0</v>
      </c>
      <c r="K61" s="29" t="n">
        <f aca="false">E61*(E61+1)*H61</f>
        <v>0</v>
      </c>
    </row>
    <row r="62" customFormat="false" ht="15" hidden="false" customHeight="false" outlineLevel="0" collapsed="false">
      <c r="E62" s="18" t="n">
        <f aca="false">E61+1</f>
        <v>57</v>
      </c>
      <c r="F62" s="19" t="n">
        <f aca="false">E62/$B$7</f>
        <v>28.5</v>
      </c>
      <c r="G62" s="20" t="n">
        <f aca="false">IF(E62&lt;=$B$7*$B$8,$B$5*$B$6/$B$7+IF(E62=$B$7*$B$8,$B$5,0),0)</f>
        <v>0</v>
      </c>
      <c r="H62" s="20" t="n">
        <f aca="false">G62/(1+$B$9/$B$7)^E62</f>
        <v>0</v>
      </c>
      <c r="I62" s="28" t="n">
        <f aca="false">H62/$B$15</f>
        <v>0</v>
      </c>
      <c r="J62" s="20" t="n">
        <f aca="false">E62*H62</f>
        <v>0</v>
      </c>
      <c r="K62" s="29" t="n">
        <f aca="false">E62*(E62+1)*H62</f>
        <v>0</v>
      </c>
    </row>
    <row r="63" customFormat="false" ht="15" hidden="false" customHeight="false" outlineLevel="0" collapsed="false">
      <c r="E63" s="18" t="n">
        <f aca="false">E62+1</f>
        <v>58</v>
      </c>
      <c r="F63" s="19" t="n">
        <f aca="false">E63/$B$7</f>
        <v>29</v>
      </c>
      <c r="G63" s="20" t="n">
        <f aca="false">IF(E63&lt;=$B$7*$B$8,$B$5*$B$6/$B$7+IF(E63=$B$7*$B$8,$B$5,0),0)</f>
        <v>0</v>
      </c>
      <c r="H63" s="20" t="n">
        <f aca="false">G63/(1+$B$9/$B$7)^E63</f>
        <v>0</v>
      </c>
      <c r="I63" s="28" t="n">
        <f aca="false">H63/$B$15</f>
        <v>0</v>
      </c>
      <c r="J63" s="20" t="n">
        <f aca="false">E63*H63</f>
        <v>0</v>
      </c>
      <c r="K63" s="29" t="n">
        <f aca="false">E63*(E63+1)*H63</f>
        <v>0</v>
      </c>
    </row>
    <row r="64" customFormat="false" ht="15" hidden="false" customHeight="false" outlineLevel="0" collapsed="false">
      <c r="E64" s="18" t="n">
        <f aca="false">E63+1</f>
        <v>59</v>
      </c>
      <c r="F64" s="19" t="n">
        <f aca="false">E64/$B$7</f>
        <v>29.5</v>
      </c>
      <c r="G64" s="20" t="n">
        <f aca="false">IF(E64&lt;=$B$7*$B$8,$B$5*$B$6/$B$7+IF(E64=$B$7*$B$8,$B$5,0),0)</f>
        <v>0</v>
      </c>
      <c r="H64" s="20" t="n">
        <f aca="false">G64/(1+$B$9/$B$7)^E64</f>
        <v>0</v>
      </c>
      <c r="I64" s="28" t="n">
        <f aca="false">H64/$B$15</f>
        <v>0</v>
      </c>
      <c r="J64" s="20" t="n">
        <f aca="false">E64*H64</f>
        <v>0</v>
      </c>
      <c r="K64" s="29" t="n">
        <f aca="false">E64*(E64+1)*H64</f>
        <v>0</v>
      </c>
    </row>
    <row r="65" customFormat="false" ht="15" hidden="false" customHeight="false" outlineLevel="0" collapsed="false">
      <c r="E65" s="18" t="n">
        <f aca="false">E64+1</f>
        <v>60</v>
      </c>
      <c r="F65" s="19" t="n">
        <f aca="false">E65/$B$7</f>
        <v>30</v>
      </c>
      <c r="G65" s="20" t="n">
        <f aca="false">IF(E65&lt;=$B$7*$B$8,$B$5*$B$6/$B$7+IF(E65=$B$7*$B$8,$B$5,0),0)</f>
        <v>0</v>
      </c>
      <c r="H65" s="20" t="n">
        <f aca="false">G65/(1+$B$9/$B$7)^E65</f>
        <v>0</v>
      </c>
      <c r="I65" s="28" t="n">
        <f aca="false">H65/$B$15</f>
        <v>0</v>
      </c>
      <c r="J65" s="20" t="n">
        <f aca="false">E65*H65</f>
        <v>0</v>
      </c>
      <c r="K65" s="29" t="n">
        <f aca="false">E65*(E65+1)*H65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2026-10-09T15:55:17Z</dcterms:created>
  <dc:creator>openpyxl</dc:creator>
  <dc:description/>
  <dc:language>en-US</dc:language>
  <cp:lastModifiedBy/>
  <dcterms:modified xsi:type="dcterms:W3CDTF">2026-10-09T15:55:20Z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