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12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Summary" sheetId="2" state="visible" r:id="rId4"/>
    <sheet name="Inputs" sheetId="3" state="visible" r:id="rId5"/>
    <sheet name="Earnings" sheetId="4" state="visible" r:id="rId6"/>
    <sheet name="Funding" sheetId="5" state="visible" r:id="rId7"/>
    <sheet name="AssetQuality" sheetId="6" state="visible" r:id="rId8"/>
    <sheet name="Capital" sheetId="7" state="visible" r:id="rId9"/>
    <sheet name="ROA_Tree" sheetId="8" state="visible" r:id="rId10"/>
    <sheet name="Valuation" sheetId="9" state="visible" r:id="rId11"/>
    <sheet name="SampleBank" sheetId="10" state="visible" r:id="rId12"/>
    <sheet name="Practice" sheetId="11" state="visible" r:id="rId13"/>
    <sheet name="Abbreviations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<sst xmlns="http://schemas.openxmlformats.org/spreadsheetml/2006/main" count="1041" uniqueCount="626">
  <si>
    <t xml:space="preserve">THE MOUNTAIN PATH ACADEMY</t>
  </si>
  <si>
    <t xml:space="preserve">How to Analyse a Bank’s Performance</t>
  </si>
  <si>
    <t xml:space="preserve">Companion workbook · HDFC Bank, ICICI Bank and Axis Bank · Q2 FY27 (quarter ended 30 September 2026)</t>
  </si>
  <si>
    <t xml:space="preserve">By Prof. V. Ravichandran · Updated 18 October 2026</t>
  </si>
  <si>
    <t xml:space="preserve">Read the full learning guide online:</t>
  </si>
  <si>
    <t xml:space="preserve">Online guide</t>
  </si>
  <si>
    <t xml:space="preserve">https://themountainpathacademy.com/how-to-analyse-bank-performance</t>
  </si>
  <si>
    <t xml:space="preserve">How to use this workbook</t>
  </si>
  <si>
    <t xml:space="preserve">Step 1</t>
  </si>
  <si>
    <t xml:space="preserve">Start with the Summary sheet for the scorecard and charts.</t>
  </si>
  <si>
    <t xml:space="preserve">Step 2</t>
  </si>
  <si>
    <t xml:space="preserve">Each lens has its own sheet: Earnings, Funding, AssetQuality, Capital, ROA_Tree and Valuation. Click any black number to see its formula.</t>
  </si>
  <si>
    <t xml:space="preserve">Step 3</t>
  </si>
  <si>
    <t xml:space="preserve">Change any blue number on the Inputs sheet — for example, next quarter’s results — and every sheet updates.</t>
  </si>
  <si>
    <t xml:space="preserve">Step 4</t>
  </si>
  <si>
    <t xml:space="preserve">New to banking? Begin with the SampleBank sheet: every metric with simple round numbers.</t>
  </si>
  <si>
    <t xml:space="preserve">Step 5</t>
  </si>
  <si>
    <t xml:space="preserve">Test yourself on the Practice sheet, then look up any term on the Abbreviations sheet.</t>
  </si>
  <si>
    <t xml:space="preserve">Colour legend</t>
  </si>
  <si>
    <t xml:space="preserve">1,234</t>
  </si>
  <si>
    <t xml:space="preserve">Blue text: a number typed in from the banks’ results or a given value — you can change it</t>
  </si>
  <si>
    <t xml:space="preserve">Black text: a formula calculated in this workbook</t>
  </si>
  <si>
    <t xml:space="preserve">Green text: a link to a number on another sheet</t>
  </si>
  <si>
    <t xml:space="preserve">Yellow cell: an assumption or answer box meant for you to edit</t>
  </si>
  <si>
    <t xml:space="preserve">Sheets in this workbook</t>
  </si>
  <si>
    <t xml:space="preserve">Summary</t>
  </si>
  <si>
    <t xml:space="preserve">Scorecard of all key metrics, best value shaded, with four charts</t>
  </si>
  <si>
    <t xml:space="preserve">Inputs</t>
  </si>
  <si>
    <t xml:space="preserve">Every reported figure with its source, plus your valuation assumptions</t>
  </si>
  <si>
    <t xml:space="preserve">Earnings</t>
  </si>
  <si>
    <t xml:space="preserve">Profit waterfall, cost-to-income, jaws, PPOP and returns on interest-earning assets</t>
  </si>
  <si>
    <t xml:space="preserve">Funding</t>
  </si>
  <si>
    <t xml:space="preserve">CASA, credit-deposit ratio and a cost-of-deposits calculator</t>
  </si>
  <si>
    <t xml:space="preserve">AssetQuality</t>
  </si>
  <si>
    <t xml:space="preserve">NPAs, provision coverage, credit cost, denominator test, NPA movement</t>
  </si>
  <si>
    <t xml:space="preserve">Capital</t>
  </si>
  <si>
    <t xml:space="preserve">CRAR and CET1 headroom, and a growth-versus-capital simulator</t>
  </si>
  <si>
    <t xml:space="preserve">ROA_Tree</t>
  </si>
  <si>
    <t xml:space="preserve">HDFC Bank’s return on assets broken into its parts</t>
  </si>
  <si>
    <t xml:space="preserve">Valuation</t>
  </si>
  <si>
    <t xml:space="preserve">P/B, P/ABV, justified P/B, implied cost of equity, core P/B and a sensitivity grid</t>
  </si>
  <si>
    <t xml:space="preserve">SampleBank</t>
  </si>
  <si>
    <t xml:space="preserve">Fourteen worked illustrations with simple numbers</t>
  </si>
  <si>
    <t xml:space="preserve">Practice</t>
  </si>
  <si>
    <t xml:space="preserve">Five self-check questions</t>
  </si>
  <si>
    <t xml:space="preserve">Abbreviations</t>
  </si>
  <si>
    <t xml:space="preserve">Every term in plain words</t>
  </si>
  <si>
    <t xml:space="preserve">Data notes</t>
  </si>
  <si>
    <t xml:space="preserve">• Results: standalone figures for the quarter ended 30 September 2026, announced 17 October 2026, from the banks’ releases and press coverage (sources on the Inputs sheet and in the online guide).</t>
  </si>
  <si>
    <t xml:space="preserve">• Share prices are 16 October 2026 closes; book value and ROE are consolidated (screener.in).</t>
  </si>
  <si>
    <t xml:space="preserve">• Derived figures — PPOP, credit cost, CD ratio, implied assets, HDFC Bank PCR, the denominator test, justified and core P/B — are calculations, not reported numbers.</t>
  </si>
  <si>
    <t xml:space="preserve">• For learning only; not investment advice.</t>
  </si>
  <si>
    <t xml:space="preserve">https://themountainpathacademy.com</t>
  </si>
  <si>
    <t xml:space="preserve">Summary scorecard · HDFC Bank, ICICI Bank and Axis Bank, Q2 FY27</t>
  </si>
  <si>
    <t xml:space="preserve">Every figure links to the calculation sheets (green text). Best value in each row is shaded.</t>
  </si>
  <si>
    <t xml:space="preserve">Metric</t>
  </si>
  <si>
    <t xml:space="preserve">Unit</t>
  </si>
  <si>
    <t xml:space="preserve">HDFC Bank</t>
  </si>
  <si>
    <t xml:space="preserve">ICICI Bank</t>
  </si>
  <si>
    <t xml:space="preserve">Axis Bank</t>
  </si>
  <si>
    <t xml:space="preserve">Better when…</t>
  </si>
  <si>
    <t xml:space="preserve">Net profit</t>
  </si>
  <si>
    <t xml:space="preserve">₹ crore</t>
  </si>
  <si>
    <t xml:space="preserve">higher</t>
  </si>
  <si>
    <t xml:space="preserve">Net profit growth, YoY</t>
  </si>
  <si>
    <t xml:space="preserve">%</t>
  </si>
  <si>
    <t xml:space="preserve">higher (check for one-offs)</t>
  </si>
  <si>
    <t xml:space="preserve">NII growth, YoY</t>
  </si>
  <si>
    <t xml:space="preserve">Net interest margin (on IEA)</t>
  </si>
  <si>
    <t xml:space="preserve">Cost-to-income ratio</t>
  </si>
  <si>
    <t xml:space="preserve">lower</t>
  </si>
  <si>
    <t xml:space="preserve">Provisions ÷ PPOP</t>
  </si>
  <si>
    <t xml:space="preserve">Net profit ÷ average IEA</t>
  </si>
  <si>
    <t xml:space="preserve">CASA ratio</t>
  </si>
  <si>
    <t xml:space="preserve">Credit-deposit ratio</t>
  </si>
  <si>
    <t xml:space="preserve">lower (more room to lend)</t>
  </si>
  <si>
    <t xml:space="preserve">Asset quality</t>
  </si>
  <si>
    <t xml:space="preserve">Gross NPA ratio</t>
  </si>
  <si>
    <t xml:space="preserve">Net NPA ratio</t>
  </si>
  <si>
    <t xml:space="preserve">Provision coverage ratio</t>
  </si>
  <si>
    <t xml:space="preserve">Credit cost (annualised)</t>
  </si>
  <si>
    <t xml:space="preserve">CRAR</t>
  </si>
  <si>
    <t xml:space="preserve">CET1 ratio</t>
  </si>
  <si>
    <t xml:space="preserve">Valuation (16 Oct 2026 close)</t>
  </si>
  <si>
    <t xml:space="preserve">Price-to-book</t>
  </si>
  <si>
    <t xml:space="preserve">times</t>
  </si>
  <si>
    <t xml:space="preserve">lower = cheaper</t>
  </si>
  <si>
    <t xml:space="preserve">Return on equity</t>
  </si>
  <si>
    <t xml:space="preserve">Justified P/B</t>
  </si>
  <si>
    <t xml:space="preserve">compare with actual P/B</t>
  </si>
  <si>
    <t xml:space="preserve">Market-implied cost of equity</t>
  </si>
  <si>
    <t xml:space="preserve">similar across banks = fair relative pricing</t>
  </si>
  <si>
    <t xml:space="preserve">Charts</t>
  </si>
  <si>
    <t xml:space="preserve">The Mountain Path Academy · Prof. V. Ravichandran · https://themountainpathacademy.com</t>
  </si>
  <si>
    <t xml:space="preserve">Inputs · Reported figures, Q2 FY27 (quarter ended 30 September 2026)</t>
  </si>
  <si>
    <t xml:space="preserve">Blue = number typed in from the banks’ results · Black = formula · Change any blue number and every sheet recalculates.</t>
  </si>
  <si>
    <t xml:space="preserve">Item</t>
  </si>
  <si>
    <t xml:space="preserve">Source / note</t>
  </si>
  <si>
    <t xml:space="preserve">Profit and loss · quarter (₹ crore)</t>
  </si>
  <si>
    <t xml:space="preserve">Net interest income (NII)</t>
  </si>
  <si>
    <t xml:space="preserve">Bank results releases, 17 Oct 2026</t>
  </si>
  <si>
    <t xml:space="preserve">Other income (total, incl. treasury)</t>
  </si>
  <si>
    <t xml:space="preserve">ICICI: non-interest income excl. treasury 8,277 + treasury (−230) = 8,047</t>
  </si>
  <si>
    <t xml:space="preserve">Treasury gains / (losses)</t>
  </si>
  <si>
    <t xml:space="preserve">Axis Bank: not separately disclosed in the cited sources</t>
  </si>
  <si>
    <t xml:space="preserve">Operating expenses</t>
  </si>
  <si>
    <t xml:space="preserve">Axis Bank: derived on the Earnings sheet from operating profit</t>
  </si>
  <si>
    <t xml:space="preserve">Operating profit (reported)</t>
  </si>
  <si>
    <t xml:space="preserve">Used only to derive Axis Bank’s operating expenses</t>
  </si>
  <si>
    <t xml:space="preserve">Provisions and contingencies</t>
  </si>
  <si>
    <t xml:space="preserve">Bank results releases</t>
  </si>
  <si>
    <t xml:space="preserve">Net profit (PAT)</t>
  </si>
  <si>
    <t xml:space="preserve">Standalone</t>
  </si>
  <si>
    <t xml:space="preserve">Fee income</t>
  </si>
  <si>
    <t xml:space="preserve">Net profit growth, YoY (reported)</t>
  </si>
  <si>
    <t xml:space="preserve">As reported</t>
  </si>
  <si>
    <t xml:space="preserve">NII growth, YoY (reported)</t>
  </si>
  <si>
    <t xml:space="preserve">Year-ago comparatives (Q2 FY26)</t>
  </si>
  <si>
    <t xml:space="preserve">Revenue a year ago</t>
  </si>
  <si>
    <t xml:space="preserve">HDFC: net revenue. ICICI: core = NII 21,529 + non-interest income excl. treasury 7,356. Axis: op. profit 10,413 + opex 9,957</t>
  </si>
  <si>
    <t xml:space="preserve">Revenue basis used for jaws</t>
  </si>
  <si>
    <t xml:space="preserve">text</t>
  </si>
  <si>
    <t xml:space="preserve">Total</t>
  </si>
  <si>
    <t xml:space="preserve">Core</t>
  </si>
  <si>
    <t xml:space="preserve">“Core” excludes treasury gains</t>
  </si>
  <si>
    <t xml:space="preserve">Operating expense growth, YoY (reported)</t>
  </si>
  <si>
    <t xml:space="preserve">ICICI Bank reported +8.5%; used to back out year-ago opex</t>
  </si>
  <si>
    <t xml:space="preserve">Operating expenses a year ago</t>
  </si>
  <si>
    <t xml:space="preserve">ICICI: opex ÷ (1 + reported growth)</t>
  </si>
  <si>
    <t xml:space="preserve">Margins</t>
  </si>
  <si>
    <t xml:space="preserve">NIM on interest-earning assets</t>
  </si>
  <si>
    <t xml:space="preserve">HDFC also reports 3.16% on total assets</t>
  </si>
  <si>
    <t xml:space="preserve">NIM on total assets</t>
  </si>
  <si>
    <t xml:space="preserve">Reported by HDFC Bank only</t>
  </si>
  <si>
    <t xml:space="preserve">Balance sheet · 30 September 2026 (₹ crore)</t>
  </si>
  <si>
    <t xml:space="preserve">Advances (loans)</t>
  </si>
  <si>
    <t xml:space="preserve">HDFC: gross advances</t>
  </si>
  <si>
    <t xml:space="preserve">Deposits (period-end)</t>
  </si>
  <si>
    <t xml:space="preserve">Includes FCNR(B) inflows</t>
  </si>
  <si>
    <t xml:space="preserve">ICICI: quarterly average</t>
  </si>
  <si>
    <t xml:space="preserve">Loan growth, quarter-on-quarter</t>
  </si>
  <si>
    <t xml:space="preserve">Gross NPA ratio · 30 June 2026</t>
  </si>
  <si>
    <t xml:space="preserve">Previous quarter</t>
  </si>
  <si>
    <t xml:space="preserve">Gross NPA ratio · 30 Sep 2026</t>
  </si>
  <si>
    <t xml:space="preserve">Net NPA ratio · 30 Sep 2026</t>
  </si>
  <si>
    <t xml:space="preserve">Provision coverage ratio (reported)</t>
  </si>
  <si>
    <t xml:space="preserve">HDFC Bank: approximated on the AssetQuality sheet</t>
  </si>
  <si>
    <t xml:space="preserve">Gross slippages (fresh NPAs)</t>
  </si>
  <si>
    <t xml:space="preserve">Recoveries and upgrades</t>
  </si>
  <si>
    <t xml:space="preserve">Write-offs</t>
  </si>
  <si>
    <t xml:space="preserve">Credit cost (reported by the bank)</t>
  </si>
  <si>
    <t xml:space="preserve">Others calculated on the AssetQuality sheet</t>
  </si>
  <si>
    <t xml:space="preserve">CRAR (capital adequacy ratio)</t>
  </si>
  <si>
    <t xml:space="preserve">Regulatory minimum CRAR</t>
  </si>
  <si>
    <t xml:space="preserve">Axis Bank: approximate (not a D-SIB)</t>
  </si>
  <si>
    <t xml:space="preserve">Market data · 16 October 2026 close (book value and ROE consolidated)</t>
  </si>
  <si>
    <t xml:space="preserve">Share price</t>
  </si>
  <si>
    <t xml:space="preserve">₹</t>
  </si>
  <si>
    <t xml:space="preserve">screener.in</t>
  </si>
  <si>
    <t xml:space="preserve">Book value per share</t>
  </si>
  <si>
    <t xml:space="preserve">screener.in, consolidated</t>
  </si>
  <si>
    <t xml:space="preserve">Return on equity (trailing)</t>
  </si>
  <si>
    <t xml:space="preserve">Market capitalisation</t>
  </si>
  <si>
    <t xml:space="preserve">Analyst assumptions (change these to test your own view)</t>
  </si>
  <si>
    <t xml:space="preserve">Cost of equity (COE)</t>
  </si>
  <si>
    <t xml:space="preserve">Assumption</t>
  </si>
  <si>
    <t xml:space="preserve">Long-run growth (g)</t>
  </si>
  <si>
    <t xml:space="preserve">CET1 working target</t>
  </si>
  <si>
    <t xml:space="preserve">Assumption: CET1 above this is treated as excess</t>
  </si>
  <si>
    <t xml:space="preserve">Net advances as % of gross advances</t>
  </si>
  <si>
    <t xml:space="preserve">Approximation used for P/ABV</t>
  </si>
  <si>
    <t xml:space="preserve">Earnings lens · NII, PPOP, cost-to-income and jaws</t>
  </si>
  <si>
    <t xml:space="preserve">Every number below is a live formula built from the Inputs sheet. Click a cell to see its formula.</t>
  </si>
  <si>
    <t xml:space="preserve">How it is calculated</t>
  </si>
  <si>
    <t xml:space="preserve">Profit waterfall · quarter (₹ crore)</t>
  </si>
  <si>
    <t xml:space="preserve">Link to Inputs</t>
  </si>
  <si>
    <t xml:space="preserve">+ Other income</t>
  </si>
  <si>
    <t xml:space="preserve">= Net revenue</t>
  </si>
  <si>
    <t xml:space="preserve">NII + other income</t>
  </si>
  <si>
    <t xml:space="preserve">− Operating expenses</t>
  </si>
  <si>
    <t xml:space="preserve">Reported; Axis = net revenue − reported operating profit</t>
  </si>
  <si>
    <t xml:space="preserve">= Pre-provision operating profit (PPOP)</t>
  </si>
  <si>
    <t xml:space="preserve">Net revenue − operating expenses</t>
  </si>
  <si>
    <t xml:space="preserve">− Provisions</t>
  </si>
  <si>
    <t xml:space="preserve">= Profit before tax (PBT)</t>
  </si>
  <si>
    <t xml:space="preserve">PPOP − provisions</t>
  </si>
  <si>
    <t xml:space="preserve">Link to Inputs (reported)</t>
  </si>
  <si>
    <t xml:space="preserve">Implied tax</t>
  </si>
  <si>
    <t xml:space="preserve">PBT − PAT</t>
  </si>
  <si>
    <t xml:space="preserve">Implied tax rate</t>
  </si>
  <si>
    <t xml:space="preserve">Tax ÷ PBT</t>
  </si>
  <si>
    <t xml:space="preserve">Efficiency</t>
  </si>
  <si>
    <t xml:space="preserve">Operating expenses ÷ net revenue</t>
  </si>
  <si>
    <t xml:space="preserve">Core operating profit (excl. treasury)</t>
  </si>
  <si>
    <t xml:space="preserve">PPOP − treasury gains</t>
  </si>
  <si>
    <t xml:space="preserve">How much of operating profit bad loans used up</t>
  </si>
  <si>
    <t xml:space="preserve">Operating jaws (year on year)</t>
  </si>
  <si>
    <t xml:space="preserve">Revenue used for jaws</t>
  </si>
  <si>
    <t xml:space="preserve">Core revenue excludes treasury gains</t>
  </si>
  <si>
    <t xml:space="preserve">Revenue growth</t>
  </si>
  <si>
    <t xml:space="preserve">This year ÷ a year ago − 1</t>
  </si>
  <si>
    <t xml:space="preserve">Operating expense growth</t>
  </si>
  <si>
    <t xml:space="preserve">Operating jaws</t>
  </si>
  <si>
    <t xml:space="preserve">points</t>
  </si>
  <si>
    <t xml:space="preserve">Revenue growth − cost growth (positive = improving efficiency)</t>
  </si>
  <si>
    <t xml:space="preserve">Margin and comparable returns</t>
  </si>
  <si>
    <t xml:space="preserve">Annualised NII</t>
  </si>
  <si>
    <t xml:space="preserve">Quarterly NII × 4</t>
  </si>
  <si>
    <t xml:space="preserve">Average interest-earning assets (implied)</t>
  </si>
  <si>
    <t xml:space="preserve">Annualised NII ÷ NIM on IEA</t>
  </si>
  <si>
    <t xml:space="preserve">Average total assets (implied)</t>
  </si>
  <si>
    <t xml:space="preserve">Annualised NII ÷ NIM on total assets (HDFC only)</t>
  </si>
  <si>
    <t xml:space="preserve">Net profit ÷ average IEA (annualised)</t>
  </si>
  <si>
    <t xml:space="preserve">Comparable return across banks</t>
  </si>
  <si>
    <t xml:space="preserve">Funding lens · CASA and the credit-deposit ratio</t>
  </si>
  <si>
    <t xml:space="preserve">Live formulas from the Inputs sheet, plus a what-if calculator for the cost of deposits.</t>
  </si>
  <si>
    <t xml:space="preserve">Deposits and lending capacity</t>
  </si>
  <si>
    <t xml:space="preserve">Advances</t>
  </si>
  <si>
    <t xml:space="preserve">Deposits</t>
  </si>
  <si>
    <t xml:space="preserve">Credit-deposit (CD) ratio</t>
  </si>
  <si>
    <t xml:space="preserve">Advances ÷ deposits</t>
  </si>
  <si>
    <t xml:space="preserve">Link to Inputs (higher = cheaper funding)</t>
  </si>
  <si>
    <t xml:space="preserve">What-if calculator · how the CASA ratio moves the cost of deposits (illustrative rates — edit the yellow cells)</t>
  </si>
  <si>
    <t xml:space="preserve">Bank A</t>
  </si>
  <si>
    <t xml:space="preserve">Bank B</t>
  </si>
  <si>
    <t xml:space="preserve">Difference</t>
  </si>
  <si>
    <t xml:space="preserve">Interest rate paid on CASA deposits</t>
  </si>
  <si>
    <t xml:space="preserve">Input</t>
  </si>
  <si>
    <t xml:space="preserve">Interest rate paid on term deposits</t>
  </si>
  <si>
    <t xml:space="preserve">CASA share of deposits</t>
  </si>
  <si>
    <t xml:space="preserve">CASA part of cost</t>
  </si>
  <si>
    <t xml:space="preserve">CASA share × CASA rate</t>
  </si>
  <si>
    <t xml:space="preserve">Term-deposit part of cost</t>
  </si>
  <si>
    <t xml:space="preserve">(1 − CASA share) × term-deposit rate</t>
  </si>
  <si>
    <t xml:space="preserve">Cost of deposits</t>
  </si>
  <si>
    <t xml:space="preserve">Sum of both parts · difference shown in basis points (1 bp = 0.01%)</t>
  </si>
  <si>
    <t xml:space="preserve">Risk lens · NPAs, provision coverage, credit cost and the denominator test</t>
  </si>
  <si>
    <t xml:space="preserve">Live formulas from the Inputs sheet. “n/a” means the bank did not disclose the figure in the cited sources.</t>
  </si>
  <si>
    <t xml:space="preserve">Stock of bad loans</t>
  </si>
  <si>
    <t xml:space="preserve">Provision coverage ratio (PCR)</t>
  </si>
  <si>
    <t xml:space="preserve">Reported; HDFC approximated as (GNPA − NNPA) ÷ GNPA</t>
  </si>
  <si>
    <t xml:space="preserve">Cost of bad loans</t>
  </si>
  <si>
    <t xml:space="preserve">Annualised provisions</t>
  </si>
  <si>
    <t xml:space="preserve">Quarterly provisions × 4</t>
  </si>
  <si>
    <t xml:space="preserve">Reported for HDFC; others = annual provisions ÷ advances</t>
  </si>
  <si>
    <t xml:space="preserve">The denominator test · is the improvement genuine?</t>
  </si>
  <si>
    <t xml:space="preserve">Gross NPA ratio last quarter</t>
  </si>
  <si>
    <t xml:space="preserve">Loan growth this quarter</t>
  </si>
  <si>
    <t xml:space="preserve">Implied ratio from loan growth alone</t>
  </si>
  <si>
    <t xml:space="preserve">Last quarter’s ratio ÷ (1 + loan growth)</t>
  </si>
  <si>
    <t xml:space="preserve">Actual gross NPA ratio</t>
  </si>
  <si>
    <t xml:space="preserve">This quarter</t>
  </si>
  <si>
    <t xml:space="preserve">Genuine improvement</t>
  </si>
  <si>
    <t xml:space="preserve">bps</t>
  </si>
  <si>
    <t xml:space="preserve">Implied − actual, in basis points (near zero = mostly dilution)</t>
  </si>
  <si>
    <t xml:space="preserve">Gross NPA movement (where disclosed)</t>
  </si>
  <si>
    <t xml:space="preserve">− Recoveries and upgrades</t>
  </si>
  <si>
    <t xml:space="preserve">= Net additions</t>
  </si>
  <si>
    <t xml:space="preserve">Slippages − recoveries</t>
  </si>
  <si>
    <t xml:space="preserve">− Write-offs</t>
  </si>
  <si>
    <t xml:space="preserve">= Change in gross NPA stock</t>
  </si>
  <si>
    <t xml:space="preserve">Net additions − write-offs (before sales)</t>
  </si>
  <si>
    <t xml:space="preserve">Capital lens · CRAR, CET1 and growth capacity</t>
  </si>
  <si>
    <t xml:space="preserve">Live formulas from the Inputs sheet, plus a simulator showing how fast growth consumes capital.</t>
  </si>
  <si>
    <t xml:space="preserve">Regulatory capital</t>
  </si>
  <si>
    <t xml:space="preserve">CRAR headroom</t>
  </si>
  <si>
    <t xml:space="preserve">CRAR − minimum, in basis points</t>
  </si>
  <si>
    <t xml:space="preserve">CET1 above the working target</t>
  </si>
  <si>
    <t xml:space="preserve">CET1 − target (Inputs assumption), in basis points</t>
  </si>
  <si>
    <t xml:space="preserve">Growth-versus-capital simulator (edit the yellow cells)</t>
  </si>
  <si>
    <t xml:space="preserve">Starting CET1 ratio</t>
  </si>
  <si>
    <t xml:space="preserve">Dividend payout ratio</t>
  </si>
  <si>
    <t xml:space="preserve">Growth in risk-weighted assets, per year</t>
  </si>
  <si>
    <t xml:space="preserve">Internal capital generation</t>
  </si>
  <si>
    <t xml:space="preserve">ROE × (1 − payout)</t>
  </si>
  <si>
    <t xml:space="preserve">Year</t>
  </si>
  <si>
    <t xml:space="preserve">Change</t>
  </si>
  <si>
    <t xml:space="preserve">Year 0</t>
  </si>
  <si>
    <t xml:space="preserve">Starting ratio</t>
  </si>
  <si>
    <t xml:space="preserve">Year 1</t>
  </si>
  <si>
    <t xml:space="preserve">Previous ratio × (1 + capital growth) ÷ (1 + RWA growth)</t>
  </si>
  <si>
    <t xml:space="preserve">Year 2</t>
  </si>
  <si>
    <t xml:space="preserve">Year 3</t>
  </si>
  <si>
    <t xml:space="preserve">Year 4</t>
  </si>
  <si>
    <t xml:space="preserve">Year 5</t>
  </si>
  <si>
    <t xml:space="preserve">Return decomposition · HDFC Bank ROA tree, Q2 FY27</t>
  </si>
  <si>
    <t xml:space="preserve">Each line is annualised (× 4) and divided by average total assets implied by NIM on total assets.</t>
  </si>
  <si>
    <t xml:space="preserve">Line</t>
  </si>
  <si>
    <t xml:space="preserve">Quarter (₹ crore)</t>
  </si>
  <si>
    <t xml:space="preserve">Annualised (₹ crore)</t>
  </si>
  <si>
    <t xml:space="preserve">% of avg. assets</t>
  </si>
  <si>
    <t xml:space="preserve">From the Earnings sheet: annualised NII ÷ 3.16%</t>
  </si>
  <si>
    <t xml:space="preserve">NII</t>
  </si>
  <si>
    <t xml:space="preserve">Quarter × 4, then ÷ average total assets</t>
  </si>
  <si>
    <t xml:space="preserve">= Profit before tax ÷ assets</t>
  </si>
  <si>
    <t xml:space="preserve">NII + other income − opex − provisions</t>
  </si>
  <si>
    <t xml:space="preserve">− Tax ÷ assets</t>
  </si>
  <si>
    <t xml:space="preserve">PBT ÷ assets × implied tax rate (Earnings sheet)</t>
  </si>
  <si>
    <t xml:space="preserve">= Return on assets (ROA)</t>
  </si>
  <si>
    <t xml:space="preserve">PBT ÷ assets − tax ÷ assets</t>
  </si>
  <si>
    <t xml:space="preserve">Check: net profit ÷ assets</t>
  </si>
  <si>
    <t xml:space="preserve">Should equal the ROA line above</t>
  </si>
  <si>
    <t xml:space="preserve">Return on equity (trailing, consolidated)</t>
  </si>
  <si>
    <t xml:space="preserve">Implied leverage (assets ÷ equity)</t>
  </si>
  <si>
    <t xml:space="preserve">ROE ÷ ROA (approximate: ROE is trailing and consolidated)</t>
  </si>
  <si>
    <t xml:space="preserve">Valuation lens · P/B, P/ABV, justified P/B and core P/B</t>
  </si>
  <si>
    <t xml:space="preserve">Prices are 16 October 2026 closes, before the 17 October results. Change COE, g or the CET1 target on the Inputs sheet.</t>
  </si>
  <si>
    <t xml:space="preserve">Price-to-book (P/B)</t>
  </si>
  <si>
    <t xml:space="preserve">Price ÷ book value per share</t>
  </si>
  <si>
    <t xml:space="preserve">Price-to-adjusted-book-value (P/ABV)</t>
  </si>
  <si>
    <t xml:space="preserve">Shares outstanding (crore)</t>
  </si>
  <si>
    <t xml:space="preserve">number</t>
  </si>
  <si>
    <t xml:space="preserve">Market capitalisation ÷ price</t>
  </si>
  <si>
    <t xml:space="preserve">Net advances (approximate)</t>
  </si>
  <si>
    <t xml:space="preserve">Gross advances × net-advances assumption</t>
  </si>
  <si>
    <t xml:space="preserve">Net NPAs</t>
  </si>
  <si>
    <t xml:space="preserve">Net NPA ratio × net advances</t>
  </si>
  <si>
    <t xml:space="preserve">Net NPAs per share</t>
  </si>
  <si>
    <t xml:space="preserve">Net NPAs ÷ shares</t>
  </si>
  <si>
    <t xml:space="preserve">Adjusted book value per share</t>
  </si>
  <si>
    <t xml:space="preserve">Book value − net NPAs per share</t>
  </si>
  <si>
    <t xml:space="preserve">P/ABV</t>
  </si>
  <si>
    <t xml:space="preserve">Price ÷ adjusted book value</t>
  </si>
  <si>
    <t xml:space="preserve">Is the P/B justified by ROE?</t>
  </si>
  <si>
    <t xml:space="preserve">(ROE − g) ÷ (COE − g), using the Inputs assumptions</t>
  </si>
  <si>
    <t xml:space="preserve">Actual P/B ÷ justified P/B − 1</t>
  </si>
  <si>
    <t xml:space="preserve">Premium (+) or discount (−) to the justified multiple</t>
  </si>
  <si>
    <t xml:space="preserve">g + (ROE − g) ÷ actual P/B</t>
  </si>
  <si>
    <t xml:space="preserve">P/B per point of ROE</t>
  </si>
  <si>
    <t xml:space="preserve">ratio</t>
  </si>
  <si>
    <t xml:space="preserve">Lower = cheaper for the return earned</t>
  </si>
  <si>
    <t xml:space="preserve">Removing excess capital</t>
  </si>
  <si>
    <t xml:space="preserve">Share of capital that is excess</t>
  </si>
  <si>
    <t xml:space="preserve">(CET1 − target) ÷ CET1</t>
  </si>
  <si>
    <t xml:space="preserve">Excess capital per share</t>
  </si>
  <si>
    <t xml:space="preserve">Excess share × book value (assumes CET1 ≈ book value)</t>
  </si>
  <si>
    <t xml:space="preserve">Core book value per share</t>
  </si>
  <si>
    <t xml:space="preserve">Book value − excess capital</t>
  </si>
  <si>
    <t xml:space="preserve">Core price</t>
  </si>
  <si>
    <t xml:space="preserve">Price − excess capital</t>
  </si>
  <si>
    <t xml:space="preserve">Core P/B</t>
  </si>
  <si>
    <t xml:space="preserve">Core price ÷ core book value</t>
  </si>
  <si>
    <t xml:space="preserve">Core ROE</t>
  </si>
  <si>
    <t xml:space="preserve">ROE × book value ÷ core book value</t>
  </si>
  <si>
    <t xml:space="preserve">Sensitivity · justified P/B for different COE and growth (edit the yellow ROE)</t>
  </si>
  <si>
    <t xml:space="preserve">ROE used in the grid</t>
  </si>
  <si>
    <t xml:space="preserve">Default is ICICI Bank’s 15.9%; try 13.6% (HDFC) or 13.1% (Axis)</t>
  </si>
  <si>
    <t xml:space="preserve">COE ↓  /  growth g →</t>
  </si>
  <si>
    <t xml:space="preserve">Read across: higher growth raises the justified multiple. Read down: a higher cost of equity lowers it. “n/a” where COE ≤ g (the formula breaks down).</t>
  </si>
  <si>
    <t xml:space="preserve">Sample Bank · every metric with simple round numbers</t>
  </si>
  <si>
    <t xml:space="preserve">Blue = given numbers you can change · Black = formulas. Watch the results update as you edit.</t>
  </si>
  <si>
    <t xml:space="preserve">1 · Net interest income (₹ crore, one year)</t>
  </si>
  <si>
    <t xml:space="preserve">Step</t>
  </si>
  <si>
    <t xml:space="preserve">What we calculate</t>
  </si>
  <si>
    <t xml:space="preserve">Value</t>
  </si>
  <si>
    <t xml:space="preserve">Interest earned on loans</t>
  </si>
  <si>
    <t xml:space="preserve">Given</t>
  </si>
  <si>
    <t xml:space="preserve">Interest earned on investments</t>
  </si>
  <si>
    <t xml:space="preserve">Interest paid on deposits</t>
  </si>
  <si>
    <t xml:space="preserve">Interest paid on borrowings</t>
  </si>
  <si>
    <t xml:space="preserve">Interest earned − interest paid</t>
  </si>
  <si>
    <t xml:space="preserve">Takeaway: NII is the bank’s gross “spread income” before any other cost.</t>
  </si>
  <si>
    <t xml:space="preserve">2 · Net interest margin (₹ crore)</t>
  </si>
  <si>
    <t xml:space="preserve">Quarterly NII</t>
  </si>
  <si>
    <t xml:space="preserve">Average interest-earning assets</t>
  </si>
  <si>
    <t xml:space="preserve">Net interest margin</t>
  </si>
  <si>
    <t xml:space="preserve">Annualised NII ÷ average interest-earning assets</t>
  </si>
  <si>
    <t xml:space="preserve">Takeaway: For every ₹100 lent or invested, the bank keeps ₹4 a year after paying for its funds.</t>
  </si>
  <si>
    <t xml:space="preserve">3 · The repricing lag after a 0.50% repo-rate cut (₹ crore)</t>
  </si>
  <si>
    <t xml:space="preserve">Loans</t>
  </si>
  <si>
    <t xml:space="preserve">Loan yield before the cut</t>
  </si>
  <si>
    <t xml:space="preserve">Deposit cost before the cut</t>
  </si>
  <si>
    <t xml:space="preserve">Repo-rate cut</t>
  </si>
  <si>
    <t xml:space="preserve">NIM before the cut</t>
  </si>
  <si>
    <t xml:space="preserve">(loan income − deposit cost) ÷ loans</t>
  </si>
  <si>
    <t xml:space="preserve">NIM immediately after (loans reprice, deposits do not)</t>
  </si>
  <si>
    <t xml:space="preserve">Loan yield falls by the cut; deposit cost unchanged</t>
  </si>
  <si>
    <t xml:space="preserve">NIM after deposits reprice</t>
  </si>
  <si>
    <t xml:space="preserve">Both sides lower by the cut</t>
  </si>
  <si>
    <t xml:space="preserve">Takeaway: Margins fall first and recover only as fixed deposits renew at lower rates.</t>
  </si>
  <si>
    <t xml:space="preserve">4 · Headline versus core profit growth (₹ crore)</t>
  </si>
  <si>
    <t xml:space="preserve">Core profit last year</t>
  </si>
  <si>
    <t xml:space="preserve">Treasury gains last year</t>
  </si>
  <si>
    <t xml:space="preserve">Core profit this year</t>
  </si>
  <si>
    <t xml:space="preserve">Treasury gains this year</t>
  </si>
  <si>
    <t xml:space="preserve">Headline profit growth</t>
  </si>
  <si>
    <t xml:space="preserve">Total this year ÷ total last year − 1</t>
  </si>
  <si>
    <t xml:space="preserve">Core profit growth</t>
  </si>
  <si>
    <t xml:space="preserve">Core this year ÷ core last year − 1</t>
  </si>
  <si>
    <t xml:space="preserve">Takeaway: A fall in volatile bond-market gains can hide a strongly improving business.</t>
  </si>
  <si>
    <t xml:space="preserve">5 · Cost-to-income and operating jaws (₹ crore)</t>
  </si>
  <si>
    <t xml:space="preserve">Revenue, year 1</t>
  </si>
  <si>
    <t xml:space="preserve">Costs, year 1</t>
  </si>
  <si>
    <t xml:space="preserve">Revenue, year 2</t>
  </si>
  <si>
    <t xml:space="preserve">Costs, year 2</t>
  </si>
  <si>
    <t xml:space="preserve">Cost-to-income, year 1</t>
  </si>
  <si>
    <t xml:space="preserve">Costs ÷ revenue</t>
  </si>
  <si>
    <t xml:space="preserve">Cost-to-income, year 2</t>
  </si>
  <si>
    <t xml:space="preserve">Operating jaws (points)</t>
  </si>
  <si>
    <t xml:space="preserve">Revenue growth − cost growth</t>
  </si>
  <si>
    <t xml:space="preserve">Takeaway: Positive jaws push the cost-to-income ratio down.</t>
  </si>
  <si>
    <t xml:space="preserve">6 · PPOP as a cushion against bad loans (₹ crore)</t>
  </si>
  <si>
    <t xml:space="preserve">Pre-provision operating profit</t>
  </si>
  <si>
    <t xml:space="preserve">Normal provisions</t>
  </si>
  <si>
    <t xml:space="preserve">Stress: provisions multiply by</t>
  </si>
  <si>
    <t xml:space="preserve">PBT in a normal year</t>
  </si>
  <si>
    <t xml:space="preserve">PBT under stress</t>
  </si>
  <si>
    <t xml:space="preserve">PPOP − stressed provisions</t>
  </si>
  <si>
    <t xml:space="preserve">Cushion: provisions could rise this many times before a loss</t>
  </si>
  <si>
    <t xml:space="preserve">PPOP ÷ normal provisions</t>
  </si>
  <si>
    <t xml:space="preserve">Takeaway: Only when provisions exceed PPOP does the bank make a loss.</t>
  </si>
  <si>
    <t xml:space="preserve">7 · Credit-deposit ratio (₹ crore)</t>
  </si>
  <si>
    <t xml:space="preserve">Comfort ceiling for the CD ratio</t>
  </si>
  <si>
    <t xml:space="preserve">CD ratio</t>
  </si>
  <si>
    <t xml:space="preserve">Loans ÷ deposits</t>
  </si>
  <si>
    <t xml:space="preserve">Extra loans possible before the ceiling</t>
  </si>
  <si>
    <t xml:space="preserve">Ceiling × deposits − loans</t>
  </si>
  <si>
    <t xml:space="preserve">Takeaway: A high CD ratio means growth must be funded by new, often costlier, deposits.</t>
  </si>
  <si>
    <t xml:space="preserve">8 · Gross NPA, net NPA and coverage (₹ crore)</t>
  </si>
  <si>
    <t xml:space="preserve">Gross advances</t>
  </si>
  <si>
    <t xml:space="preserve">Gross NPAs (overdue &gt; 90 days)</t>
  </si>
  <si>
    <t xml:space="preserve">Provisions on NPAs</t>
  </si>
  <si>
    <t xml:space="preserve">Gross NPAs ÷ gross advances</t>
  </si>
  <si>
    <t xml:space="preserve">Gross NPAs − provisions</t>
  </si>
  <si>
    <t xml:space="preserve">Net advances</t>
  </si>
  <si>
    <t xml:space="preserve">Gross advances − provisions</t>
  </si>
  <si>
    <t xml:space="preserve">Net NPAs ÷ net advances</t>
  </si>
  <si>
    <t xml:space="preserve">Provisions ÷ gross NPAs</t>
  </si>
  <si>
    <t xml:space="preserve">Takeaway: Gross NPA = what has gone bad; net NPA = what is still unprovided; PCR = how much is already covered.</t>
  </si>
  <si>
    <t xml:space="preserve">9 · Credit cost compared with the margin (₹ crore)</t>
  </si>
  <si>
    <t xml:space="preserve">Quarterly provisions</t>
  </si>
  <si>
    <t xml:space="preserve">Average advances</t>
  </si>
  <si>
    <t xml:space="preserve">Quarterly provisions × 4 ÷ advances</t>
  </si>
  <si>
    <t xml:space="preserve">Share of the margin lost to bad loans</t>
  </si>
  <si>
    <t xml:space="preserve">Credit cost ÷ NIM</t>
  </si>
  <si>
    <t xml:space="preserve">Takeaway: Here one-third of the spread goes to cover bad loans.</t>
  </si>
  <si>
    <t xml:space="preserve">10 · Specific versus aggregate provision coverage (₹ crore)</t>
  </si>
  <si>
    <t xml:space="preserve">Gross NPAs</t>
  </si>
  <si>
    <t xml:space="preserve">Specific provisions on NPAs</t>
  </si>
  <si>
    <t xml:space="preserve">Contingency provisions</t>
  </si>
  <si>
    <t xml:space="preserve">Standard-asset provisions</t>
  </si>
  <si>
    <t xml:space="preserve">PCR (specific only)</t>
  </si>
  <si>
    <t xml:space="preserve">Specific provisions ÷ gross NPAs</t>
  </si>
  <si>
    <t xml:space="preserve">Aggregate coverage</t>
  </si>
  <si>
    <t xml:space="preserve">All provisions ÷ gross NPAs</t>
  </si>
  <si>
    <t xml:space="preserve">Takeaway: Above 100% means the bank has set aside more than its entire stock of bad loans.</t>
  </si>
  <si>
    <t xml:space="preserve">11 · From assets to risk-weighted assets to CRAR (₹ crore, illustrative risk weights)</t>
  </si>
  <si>
    <t xml:space="preserve">Home loans</t>
  </si>
  <si>
    <t xml:space="preserve">Risk weight: home loans</t>
  </si>
  <si>
    <t xml:space="preserve">Illustrative</t>
  </si>
  <si>
    <t xml:space="preserve">Corporate loans</t>
  </si>
  <si>
    <t xml:space="preserve">Risk weight: corporate loans</t>
  </si>
  <si>
    <t xml:space="preserve">Unsecured personal loans</t>
  </si>
  <si>
    <t xml:space="preserve">Risk weight: personal loans</t>
  </si>
  <si>
    <t xml:space="preserve">Government bonds</t>
  </si>
  <si>
    <t xml:space="preserve">Risk weight: government bonds</t>
  </si>
  <si>
    <t xml:space="preserve">Operational and market risk RWA</t>
  </si>
  <si>
    <t xml:space="preserve">CET1 capital</t>
  </si>
  <si>
    <t xml:space="preserve">Additional Tier 1 capital</t>
  </si>
  <si>
    <t xml:space="preserve">Tier 2 capital</t>
  </si>
  <si>
    <t xml:space="preserve">Total risk-weighted assets</t>
  </si>
  <si>
    <t xml:space="preserve">Σ (exposure × risk weight) + other risk</t>
  </si>
  <si>
    <t xml:space="preserve">CET1 ÷ RWA</t>
  </si>
  <si>
    <t xml:space="preserve">Tier 1 ratio</t>
  </si>
  <si>
    <t xml:space="preserve">(CET1 + AT1) ÷ RWA</t>
  </si>
  <si>
    <t xml:space="preserve">Total capital ÷ RWA</t>
  </si>
  <si>
    <t xml:space="preserve">Takeaway: Safe assets carry low weights, so RWA is smaller than total assets. Actual RBI weights depend on borrower, rating and loan-to-value.</t>
  </si>
  <si>
    <t xml:space="preserve">12 · From ROA to ROE (₹ crore, one year)</t>
  </si>
  <si>
    <t xml:space="preserve">Average total assets</t>
  </si>
  <si>
    <t xml:space="preserve">Shareholders’ equity</t>
  </si>
  <si>
    <t xml:space="preserve">Return on assets</t>
  </si>
  <si>
    <t xml:space="preserve">Net profit ÷ assets</t>
  </si>
  <si>
    <t xml:space="preserve">Leverage (times)</t>
  </si>
  <si>
    <t xml:space="preserve">Assets ÷ equity</t>
  </si>
  <si>
    <t xml:space="preserve">ROA × leverage</t>
  </si>
  <si>
    <t xml:space="preserve">Takeaway: Leverage turns a small return on assets into a healthy return for owners — and magnifies losses too.</t>
  </si>
  <si>
    <t xml:space="preserve">13 · Price-to-book and P/ABV (₹)</t>
  </si>
  <si>
    <t xml:space="preserve">Shareholders’ equity (₹ crore)</t>
  </si>
  <si>
    <t xml:space="preserve">Equity ÷ shares</t>
  </si>
  <si>
    <t xml:space="preserve">Price-to-book (times)</t>
  </si>
  <si>
    <t xml:space="preserve">Price ÷ book value</t>
  </si>
  <si>
    <t xml:space="preserve">P/ABV (times)</t>
  </si>
  <si>
    <t xml:space="preserve">Price ÷ (book value − net NPAs per share)</t>
  </si>
  <si>
    <t xml:space="preserve">Takeaway: Investors pay more than book value when they expect the bank to earn above its cost of equity.</t>
  </si>
  <si>
    <t xml:space="preserve">14 · Justified P/B</t>
  </si>
  <si>
    <t xml:space="preserve">Cost of equity</t>
  </si>
  <si>
    <t xml:space="preserve">Long-run growth</t>
  </si>
  <si>
    <t xml:space="preserve">Justified P/B (times)</t>
  </si>
  <si>
    <t xml:space="preserve">(ROE − g) ÷ (COE − g)</t>
  </si>
  <si>
    <t xml:space="preserve">Takeaway: Earn exactly the cost of equity and the bank is worth exactly its book value (1.0×).</t>
  </si>
  <si>
    <t xml:space="preserve">Practice · try first, then check</t>
  </si>
  <si>
    <t xml:space="preserve">Type your answer in the yellow cell (percentages as e.g. 4% or 0.04). The Check column tells you if you are right.</t>
  </si>
  <si>
    <t xml:space="preserve">Q</t>
  </si>
  <si>
    <t xml:space="preserve">Question and given data</t>
  </si>
  <si>
    <t xml:space="preserve">Your answer</t>
  </si>
  <si>
    <t xml:space="preserve">Model answer</t>
  </si>
  <si>
    <t xml:space="preserve">Check</t>
  </si>
  <si>
    <t xml:space="preserve">Q33</t>
  </si>
  <si>
    <t xml:space="preserve">A bank earns quarterly NII of ₹1,000 crore on average interest-earning assets of ₹1,00,000 crore. What is its NIM?</t>
  </si>
  <si>
    <t xml:space="preserve">Q34</t>
  </si>
  <si>
    <t xml:space="preserve">Gross NPAs are ₹2,000 crore and net NPAs are ₹600 crore. What is the provision coverage ratio?</t>
  </si>
  <si>
    <t xml:space="preserve">Q35</t>
  </si>
  <si>
    <t xml:space="preserve">Gross NPA ratio was 1.50%. Loans grew 20% and the NPA amount did not change. What is the new gross NPA ratio?</t>
  </si>
  <si>
    <t xml:space="preserve">Q36</t>
  </si>
  <si>
    <t xml:space="preserve">ROE is 15%, cost of equity 12%, long-run growth 8%. What price-to-book is justified (in times)?</t>
  </si>
  <si>
    <t xml:space="preserve">Q37</t>
  </si>
  <si>
    <t xml:space="preserve">CET1 is 15%. ROE is 15% with a 20% payout. Risk-weighted assets grow 25%. What is CET1 after one year?</t>
  </si>
  <si>
    <t xml:space="preserve">Tip: hide column D before you start if you do not want to see the model answers. The same questions are worked step by step in Learning Path 09 of the online guide.</t>
  </si>
  <si>
    <t xml:space="preserve">Abbreviations used in this workbook</t>
  </si>
  <si>
    <t xml:space="preserve">Every abbreviation in plain words.</t>
  </si>
  <si>
    <t xml:space="preserve">Abbreviation</t>
  </si>
  <si>
    <t xml:space="preserve">In full</t>
  </si>
  <si>
    <t xml:space="preserve">What it measures or means</t>
  </si>
  <si>
    <t xml:space="preserve">Net interest income</t>
  </si>
  <si>
    <t xml:space="preserve">Interest earned minus interest paid</t>
  </si>
  <si>
    <t xml:space="preserve">NIM</t>
  </si>
  <si>
    <t xml:space="preserve">Annualised NII as a percentage of average interest-earning assets</t>
  </si>
  <si>
    <t xml:space="preserve">IEA</t>
  </si>
  <si>
    <t xml:space="preserve">Interest-earning assets</t>
  </si>
  <si>
    <t xml:space="preserve">Loans, investments and other assets that earn interest</t>
  </si>
  <si>
    <t xml:space="preserve">TA</t>
  </si>
  <si>
    <t xml:space="preserve">Total assets</t>
  </si>
  <si>
    <t xml:space="preserve">All assets on the balance sheet</t>
  </si>
  <si>
    <t xml:space="preserve">C/I</t>
  </si>
  <si>
    <t xml:space="preserve">Operating expenses ÷ total operating income</t>
  </si>
  <si>
    <t xml:space="preserve">PPOP</t>
  </si>
  <si>
    <t xml:space="preserve">Revenue minus operating expenses, before provisions and tax</t>
  </si>
  <si>
    <t xml:space="preserve">PBT</t>
  </si>
  <si>
    <t xml:space="preserve">Profit before tax</t>
  </si>
  <si>
    <t xml:space="preserve">Profit after provisions, before tax</t>
  </si>
  <si>
    <t xml:space="preserve">PAT</t>
  </si>
  <si>
    <t xml:space="preserve">Profit after tax</t>
  </si>
  <si>
    <t xml:space="preserve">Net profit attributable to shareholders</t>
  </si>
  <si>
    <t xml:space="preserve">NPA</t>
  </si>
  <si>
    <t xml:space="preserve">Non-performing asset</t>
  </si>
  <si>
    <t xml:space="preserve">A loan overdue for more than 90 days</t>
  </si>
  <si>
    <t xml:space="preserve">GNPA</t>
  </si>
  <si>
    <t xml:space="preserve">Gross non-performing assets</t>
  </si>
  <si>
    <t xml:space="preserve">Bad loans before deducting provisions</t>
  </si>
  <si>
    <t xml:space="preserve">NNPA</t>
  </si>
  <si>
    <t xml:space="preserve">Net non-performing assets</t>
  </si>
  <si>
    <t xml:space="preserve">Bad loans after deducting provisions</t>
  </si>
  <si>
    <t xml:space="preserve">PCR</t>
  </si>
  <si>
    <t xml:space="preserve">Provisions held ÷ gross NPAs</t>
  </si>
  <si>
    <t xml:space="preserve">CASA</t>
  </si>
  <si>
    <t xml:space="preserve">Current account and savings account (deposits)</t>
  </si>
  <si>
    <t xml:space="preserve">Low-cost deposits; CASA ratio = CASA ÷ total deposits</t>
  </si>
  <si>
    <t xml:space="preserve">Capital to risk-weighted assets ratio</t>
  </si>
  <si>
    <t xml:space="preserve">Total regulatory capital ÷ risk-weighted assets (capital adequacy ratio)</t>
  </si>
  <si>
    <t xml:space="preserve">CET1</t>
  </si>
  <si>
    <t xml:space="preserve">Common Equity Tier 1</t>
  </si>
  <si>
    <t xml:space="preserve">Highest-quality capital: equity and retained earnings</t>
  </si>
  <si>
    <t xml:space="preserve">AT1</t>
  </si>
  <si>
    <t xml:space="preserve">Additional Tier 1</t>
  </si>
  <si>
    <t xml:space="preserve">Perpetual bonds that count as Tier 1 capital</t>
  </si>
  <si>
    <t xml:space="preserve">RWA</t>
  </si>
  <si>
    <t xml:space="preserve">Risk-weighted assets</t>
  </si>
  <si>
    <t xml:space="preserve">Exposures scaled by their regulatory risk weights</t>
  </si>
  <si>
    <t xml:space="preserve">D-SIB</t>
  </si>
  <si>
    <t xml:space="preserve">Domestic systemically important bank</t>
  </si>
  <si>
    <t xml:space="preserve">A bank whose failure would hurt the financial system; it carries extra capital</t>
  </si>
  <si>
    <t xml:space="preserve">ROA</t>
  </si>
  <si>
    <t xml:space="preserve">Net profit ÷ average total assets</t>
  </si>
  <si>
    <t xml:space="preserve">ROE</t>
  </si>
  <si>
    <t xml:space="preserve">Net profit ÷ average shareholders’ equity</t>
  </si>
  <si>
    <t xml:space="preserve">COE</t>
  </si>
  <si>
    <t xml:space="preserve">The return shareholders require</t>
  </si>
  <si>
    <t xml:space="preserve">P/B</t>
  </si>
  <si>
    <t xml:space="preserve">Price-to-book ratio</t>
  </si>
  <si>
    <t xml:space="preserve">Share price ÷ book value per share</t>
  </si>
  <si>
    <t xml:space="preserve">Price-to-adjusted-book-value ratio</t>
  </si>
  <si>
    <t xml:space="preserve">Share price ÷ book value after deducting net NPAs</t>
  </si>
  <si>
    <t xml:space="preserve">P/E</t>
  </si>
  <si>
    <t xml:space="preserve">Price-to-earnings ratio</t>
  </si>
  <si>
    <t xml:space="preserve">Share price ÷ earnings per share</t>
  </si>
  <si>
    <t xml:space="preserve">RBI</t>
  </si>
  <si>
    <t xml:space="preserve">Reserve Bank of India</t>
  </si>
  <si>
    <t xml:space="preserve">India’s central bank and banking regulator</t>
  </si>
  <si>
    <t xml:space="preserve">CRR</t>
  </si>
  <si>
    <t xml:space="preserve">Cash reserve ratio</t>
  </si>
  <si>
    <t xml:space="preserve">Share of deposits banks must hold as cash with the RBI</t>
  </si>
  <si>
    <t xml:space="preserve">SLR</t>
  </si>
  <si>
    <t xml:space="preserve">Statutory liquidity ratio</t>
  </si>
  <si>
    <t xml:space="preserve">Share of deposits banks must hold in liquid assets such as government securities</t>
  </si>
  <si>
    <t xml:space="preserve">FCNR(B)</t>
  </si>
  <si>
    <t xml:space="preserve">Foreign Currency Non-Resident (Bank) deposits</t>
  </si>
  <si>
    <t xml:space="preserve">Foreign-currency term deposits from non-resident Indians</t>
  </si>
  <si>
    <t xml:space="preserve">EBLR</t>
  </si>
  <si>
    <t xml:space="preserve">External benchmark-linked lending rate</t>
  </si>
  <si>
    <t xml:space="preserve">Loan rates linked to the repo rate or another external benchmark</t>
  </si>
  <si>
    <t xml:space="preserve">MSME</t>
  </si>
  <si>
    <t xml:space="preserve">Micro, small and medium enterprises</t>
  </si>
  <si>
    <t xml:space="preserve">A lending segment</t>
  </si>
  <si>
    <t xml:space="preserve">NBFC</t>
  </si>
  <si>
    <t xml:space="preserve">Non-banking financial company</t>
  </si>
  <si>
    <t xml:space="preserve">A finance company that is not a bank</t>
  </si>
  <si>
    <t xml:space="preserve">AMC</t>
  </si>
  <si>
    <t xml:space="preserve">Asset management company</t>
  </si>
  <si>
    <t xml:space="preserve">A mutual fund manager</t>
  </si>
  <si>
    <t xml:space="preserve">EBITDA</t>
  </si>
  <si>
    <t xml:space="preserve">Earnings before interest, taxes, depreciation and amortisation</t>
  </si>
  <si>
    <t xml:space="preserve">A corporate profit measure not used for banks</t>
  </si>
  <si>
    <t xml:space="preserve">EV</t>
  </si>
  <si>
    <t xml:space="preserve">Enterprise value</t>
  </si>
  <si>
    <t xml:space="preserve">Market value of equity plus net debt; not used for banks</t>
  </si>
  <si>
    <t xml:space="preserve">Q1 · Q2 · Q3 · Q4</t>
  </si>
  <si>
    <t xml:space="preserve">First, second, third and fourth quarter</t>
  </si>
  <si>
    <t xml:space="preserve">Quarters of the Indian financial year (April–March)</t>
  </si>
  <si>
    <t xml:space="preserve">FY26 · FY27</t>
  </si>
  <si>
    <t xml:space="preserve">Financial year 2025–26 · 2026–27</t>
  </si>
  <si>
    <t xml:space="preserve">Q2 FY27 = July–September 2026</t>
  </si>
  <si>
    <t xml:space="preserve">YoY · QoQ</t>
  </si>
  <si>
    <t xml:space="preserve">Year-on-year · Quarter-on-quarter</t>
  </si>
  <si>
    <t xml:space="preserve">Comparison with the same quarter last year · with the previous quarter</t>
  </si>
  <si>
    <t xml:space="preserve">Basis points</t>
  </si>
  <si>
    <t xml:space="preserve">One hundredth of a percentage point (100 bps = 1%)</t>
  </si>
  <si>
    <t xml:space="preserve">Originally promoted by Housing Development Finance Corporation</t>
  </si>
  <si>
    <t xml:space="preserve">India’s largest private-sector bank</t>
  </si>
  <si>
    <t xml:space="preserve">Originally promoted by Industrial Credit and Investment Corporation of India</t>
  </si>
  <si>
    <t xml:space="preserve">India’s second-largest private-sector bank</t>
  </si>
  <si>
    <t xml:space="preserve">US</t>
  </si>
  <si>
    <t xml:space="preserve">United States</t>
  </si>
  <si>
    <t xml:space="preserve">As in US dollar</t>
  </si>
  <si>
    <t xml:space="preserve">g</t>
  </si>
  <si>
    <t xml:space="preserve">Long-run growth rate</t>
  </si>
  <si>
    <t xml:space="preserve">Growth assumption in the justified P/B formula</t>
  </si>
</sst>
</file>

<file path=xl/styles.xml><?xml version="1.0" encoding="utf-8"?>
<styleSheet xmlns="http://schemas.openxmlformats.org/spreadsheetml/2006/main">
  <numFmts count="15">
    <numFmt numFmtId="164" formatCode="General"/>
    <numFmt numFmtId="165" formatCode="#,##0;\(#,##0\);\-"/>
    <numFmt numFmtId="166" formatCode="0.0%;\(0.0%\);\-"/>
    <numFmt numFmtId="167" formatCode="0.00%;\(0.00%\);\-"/>
    <numFmt numFmtId="168" formatCode="0.00\x"/>
    <numFmt numFmtId="169" formatCode="0.00%"/>
    <numFmt numFmtId="170" formatCode="0.0%"/>
    <numFmt numFmtId="171" formatCode="\₹#,##0.00"/>
    <numFmt numFmtId="172" formatCode="0.0&quot; pts&quot;;\(0.0&quot; pts)&quot;;&quot;0.0 pts&quot;"/>
    <numFmt numFmtId="173" formatCode="#,##0&quot; bps&quot;;\(#,##0&quot; bps)&quot;;&quot;0 bps&quot;"/>
    <numFmt numFmtId="174" formatCode="#,##0.00"/>
    <numFmt numFmtId="175" formatCode="0.000"/>
    <numFmt numFmtId="176" formatCode="0%"/>
    <numFmt numFmtId="177" formatCode="&quot;COE = &quot;0%"/>
    <numFmt numFmtId="178" formatCode="#,##0.0;\(#,##0.0\);\-"/>
  </numFmts>
  <fonts count="3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D700"/>
      <name val="Arial"/>
      <family val="0"/>
      <charset val="1"/>
    </font>
    <font>
      <b val="true"/>
      <sz val="22"/>
      <color rgb="FFFFFFFF"/>
      <name val="Arial"/>
      <family val="0"/>
      <charset val="1"/>
    </font>
    <font>
      <sz val="11"/>
      <color rgb="FFE6F1FF"/>
      <name val="Arial"/>
      <family val="0"/>
      <charset val="1"/>
    </font>
    <font>
      <i val="true"/>
      <sz val="10"/>
      <color rgb="FFADD8E6"/>
      <name val="Arial"/>
      <family val="0"/>
      <charset val="1"/>
    </font>
    <font>
      <sz val="10"/>
      <color rgb="FFE6F1FF"/>
      <name val="Arial"/>
      <family val="0"/>
      <charset val="1"/>
    </font>
    <font>
      <b val="true"/>
      <sz val="10"/>
      <color rgb="FF003366"/>
      <name val="Arial"/>
      <family val="0"/>
      <charset val="1"/>
    </font>
    <font>
      <u val="single"/>
      <sz val="10"/>
      <color rgb="FF086EA2"/>
      <name val="Arial"/>
      <family val="0"/>
      <charset val="1"/>
    </font>
    <font>
      <b val="true"/>
      <sz val="13"/>
      <color rgb="FF003366"/>
      <name val="Arial"/>
      <family val="0"/>
      <charset val="1"/>
    </font>
    <font>
      <b val="true"/>
      <sz val="10"/>
      <color rgb="FF8E213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u val="single"/>
      <sz val="10"/>
      <color rgb="FF086EA2"/>
      <name val="Arial"/>
      <family val="0"/>
      <charset val="1"/>
    </font>
    <font>
      <sz val="9"/>
      <color rgb="FF586982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i val="true"/>
      <sz val="10"/>
      <color rgb="FF0033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003366"/>
      <name val="Arial"/>
      <family val="0"/>
      <charset val="1"/>
    </font>
    <font>
      <sz val="10"/>
      <color rgb="FF26344F"/>
      <name val="Arial"/>
      <family val="0"/>
      <charset val="1"/>
    </font>
    <font>
      <i val="true"/>
      <sz val="9"/>
      <color rgb="FF586982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0"/>
      <color rgb="FF26344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i val="true"/>
      <sz val="10"/>
      <color rgb="FF178878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03366"/>
        <bgColor rgb="FF004D80"/>
      </patternFill>
    </fill>
    <fill>
      <patternFill patternType="solid">
        <fgColor rgb="FFFFFF00"/>
        <bgColor rgb="FFFFFF00"/>
      </patternFill>
    </fill>
    <fill>
      <patternFill patternType="solid">
        <fgColor rgb="FFADD8E6"/>
        <bgColor rgb="FFD9D9D9"/>
      </patternFill>
    </fill>
    <fill>
      <patternFill patternType="solid">
        <fgColor rgb="FFFFF7DB"/>
        <bgColor rgb="FFFFFFFF"/>
      </patternFill>
    </fill>
    <fill>
      <patternFill patternType="solid">
        <fgColor rgb="FFEEF3FA"/>
        <bgColor rgb="FFE6F1FF"/>
      </patternFill>
    </fill>
    <fill>
      <patternFill patternType="solid">
        <fgColor rgb="FF178878"/>
        <bgColor rgb="FF33996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  <border diagonalUp="false" diagonalDown="false">
      <left/>
      <right/>
      <top/>
      <bottom style="medium">
        <color rgb="FFC0972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9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0" fillId="4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1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2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2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3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2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1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5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6" fontId="2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7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7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4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2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8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4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4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8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0B5D4B"/>
      </font>
      <fill>
        <patternFill>
          <bgColor rgb="FFDFF3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8878"/>
      <rgbColor rgb="FFD9E2EF"/>
      <rgbColor rgb="FF878787"/>
      <rgbColor rgb="FF9999FF"/>
      <rgbColor rgb="FF993366"/>
      <rgbColor rgb="FFFFF7DB"/>
      <rgbColor rgb="FFDFF3EE"/>
      <rgbColor rgb="FF660066"/>
      <rgbColor rgb="FFFF8080"/>
      <rgbColor rgb="FF086EA2"/>
      <rgbColor rgb="FFD9D9D9"/>
      <rgbColor rgb="FF000080"/>
      <rgbColor rgb="FFFF00FF"/>
      <rgbColor rgb="FFFFFF00"/>
      <rgbColor rgb="FF00FFFF"/>
      <rgbColor rgb="FF800080"/>
      <rgbColor rgb="FF800000"/>
      <rgbColor rgb="FF0B5D4B"/>
      <rgbColor rgb="FF0000FF"/>
      <rgbColor rgb="FF00CCFF"/>
      <rgbColor rgb="FFE6F1FF"/>
      <rgbColor rgb="FFEEF3FA"/>
      <rgbColor rgb="FFFFFF99"/>
      <rgbColor rgb="FFADD8E6"/>
      <rgbColor rgb="FFFF99CC"/>
      <rgbColor rgb="FFCC99FF"/>
      <rgbColor rgb="FFFFCC99"/>
      <rgbColor rgb="FF3366FF"/>
      <rgbColor rgb="FF33CCCC"/>
      <rgbColor rgb="FF99CC00"/>
      <rgbColor rgb="FFFFD700"/>
      <rgbColor rgb="FFC0972F"/>
      <rgbColor rgb="FFFF6600"/>
      <rgbColor rgb="FF586982"/>
      <rgbColor rgb="FF8892B0"/>
      <rgbColor rgb="FF003366"/>
      <rgbColor rgb="FF339966"/>
      <rgbColor rgb="FF003300"/>
      <rgbColor rgb="FF333300"/>
      <rgbColor rgb="FF8E2130"/>
      <rgbColor rgb="FF993366"/>
      <rgbColor rgb="FF004D80"/>
      <rgbColor rgb="FF26344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Net interest margin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"Net interest margin (on IEA)"</c:f>
              <c:strCache>
                <c:ptCount val="1"/>
                <c:pt idx="0">
                  <c:v>Net interest margin (on IEA)</c:v>
                </c:pt>
              </c:strCache>
            </c:strRef>
          </c:tx>
          <c:spPr>
            <a:solidFill>
              <a:srgbClr val="003366"/>
            </a:solidFill>
            <a:ln w="9360">
              <a:solidFill>
                <a:srgbClr val="003366"/>
              </a:solidFill>
              <a:round/>
            </a:ln>
          </c:spPr>
          <c:invertIfNegative val="0"/>
          <c:dLbls>
            <c:numFmt formatCode="0.00%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Summary!$C$4:$E$4</c:f>
              <c:multiLvlStrCache>
                <c:ptCount val="1"/>
                <c:lvl>
                  <c:pt idx="0">
                    <c:v>Axis Bank</c:v>
                  </c:pt>
                </c:lvl>
                <c:lvl>
                  <c:pt idx="0">
                    <c:v>ICICI Bank</c:v>
                  </c:pt>
                </c:lvl>
                <c:lvl>
                  <c:pt idx="0">
                    <c:v>HDFC Bank</c:v>
                  </c:pt>
                </c:lvl>
              </c:multiLvlStrCache>
            </c:multiLvlStrRef>
          </c:cat>
          <c:val>
            <c:numRef>
              <c:f>Summary!$C$9:$E$9</c:f>
              <c:numCache>
                <c:formatCode>0.00%;\(0.00%\);\-</c:formatCode>
                <c:ptCount val="3"/>
                <c:pt idx="0">
                  <c:v>0.0332</c:v>
                </c:pt>
                <c:pt idx="1">
                  <c:v>0.0418</c:v>
                </c:pt>
                <c:pt idx="2">
                  <c:v>0.0336</c:v>
                </c:pt>
              </c:numCache>
            </c:numRef>
          </c:val>
        </c:ser>
        <c:gapWidth val="150"/>
        <c:overlap val="0"/>
        <c:axId val="43081104"/>
        <c:axId val="48886492"/>
      </c:barChart>
      <c:catAx>
        <c:axId val="43081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886492"/>
        <c:crosses val="autoZero"/>
        <c:auto val="1"/>
        <c:lblAlgn val="ctr"/>
        <c:lblOffset val="100"/>
        <c:noMultiLvlLbl val="0"/>
      </c:catAx>
      <c:valAx>
        <c:axId val="48886492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%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08110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Gross and net NPA ratio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"Gross NPA ratio"</c:f>
              <c:strCache>
                <c:ptCount val="1"/>
                <c:pt idx="0">
                  <c:v>Gross NPA ratio</c:v>
                </c:pt>
              </c:strCache>
            </c:strRef>
          </c:tx>
          <c:spPr>
            <a:solidFill>
              <a:srgbClr val="003366"/>
            </a:solidFill>
            <a:ln w="9360">
              <a:solidFill>
                <a:srgbClr val="003366"/>
              </a:solidFill>
              <a:round/>
            </a:ln>
          </c:spPr>
          <c:invertIfNegative val="0"/>
          <c:dLbls>
            <c:numFmt formatCode="0.00%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Summary!$C$4:$E$4</c:f>
              <c:multiLvlStrCache>
                <c:ptCount val="1"/>
                <c:lvl>
                  <c:pt idx="0">
                    <c:v>Axis Bank</c:v>
                  </c:pt>
                </c:lvl>
                <c:lvl>
                  <c:pt idx="0">
                    <c:v>ICICI Bank</c:v>
                  </c:pt>
                </c:lvl>
                <c:lvl>
                  <c:pt idx="0">
                    <c:v>HDFC Bank</c:v>
                  </c:pt>
                </c:lvl>
              </c:multiLvlStrCache>
            </c:multiLvlStrRef>
          </c:cat>
          <c:val>
            <c:numRef>
              <c:f>Summary!$C$17:$E$17</c:f>
              <c:numCache>
                <c:formatCode>0.00%;\(0.00%\);\-</c:formatCode>
                <c:ptCount val="3"/>
                <c:pt idx="0">
                  <c:v>0.0111</c:v>
                </c:pt>
                <c:pt idx="1">
                  <c:v>0.012</c:v>
                </c:pt>
                <c:pt idx="2">
                  <c:v>0.0116</c:v>
                </c:pt>
              </c:numCache>
            </c:numRef>
          </c:val>
        </c:ser>
        <c:ser>
          <c:idx val="1"/>
          <c:order val="1"/>
          <c:tx>
            <c:strRef>
              <c:f>"Net NPA ratio"</c:f>
              <c:strCache>
                <c:ptCount val="1"/>
                <c:pt idx="0">
                  <c:v>Net NPA ratio</c:v>
                </c:pt>
              </c:strCache>
            </c:strRef>
          </c:tx>
          <c:spPr>
            <a:solidFill>
              <a:srgbClr val="c0972f"/>
            </a:solidFill>
            <a:ln w="9360">
              <a:solidFill>
                <a:srgbClr val="c0972f"/>
              </a:solidFill>
              <a:round/>
            </a:ln>
          </c:spPr>
          <c:invertIfNegative val="0"/>
          <c:dLbls>
            <c:numFmt formatCode="0.00%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Summary!$C$4:$E$4</c:f>
              <c:multiLvlStrCache>
                <c:ptCount val="1"/>
                <c:lvl>
                  <c:pt idx="0">
                    <c:v>Axis Bank</c:v>
                  </c:pt>
                </c:lvl>
                <c:lvl>
                  <c:pt idx="0">
                    <c:v>ICICI Bank</c:v>
                  </c:pt>
                </c:lvl>
                <c:lvl>
                  <c:pt idx="0">
                    <c:v>HDFC Bank</c:v>
                  </c:pt>
                </c:lvl>
              </c:multiLvlStrCache>
            </c:multiLvlStrRef>
          </c:cat>
          <c:val>
            <c:numRef>
              <c:f>Summary!$C$18:$E$18</c:f>
              <c:numCache>
                <c:formatCode>0.00%;\(0.00%\);\-</c:formatCode>
                <c:ptCount val="3"/>
                <c:pt idx="0">
                  <c:v>0.0037</c:v>
                </c:pt>
                <c:pt idx="1">
                  <c:v>0.003</c:v>
                </c:pt>
                <c:pt idx="2">
                  <c:v>0.0035</c:v>
                </c:pt>
              </c:numCache>
            </c:numRef>
          </c:val>
        </c:ser>
        <c:gapWidth val="150"/>
        <c:overlap val="0"/>
        <c:axId val="95851218"/>
        <c:axId val="48588095"/>
      </c:barChart>
      <c:catAx>
        <c:axId val="9585121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588095"/>
        <c:crosses val="autoZero"/>
        <c:auto val="1"/>
        <c:lblAlgn val="ctr"/>
        <c:lblOffset val="100"/>
        <c:noMultiLvlLbl val="0"/>
      </c:catAx>
      <c:valAx>
        <c:axId val="48588095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%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585121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Price-to-book vs justified P/B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"Price-to-book"</c:f>
              <c:strCache>
                <c:ptCount val="1"/>
                <c:pt idx="0">
                  <c:v>Price-to-book</c:v>
                </c:pt>
              </c:strCache>
            </c:strRef>
          </c:tx>
          <c:spPr>
            <a:solidFill>
              <a:srgbClr val="003366"/>
            </a:solidFill>
            <a:ln w="9360">
              <a:solidFill>
                <a:srgbClr val="003366"/>
              </a:solidFill>
              <a:round/>
            </a:ln>
          </c:spPr>
          <c:invertIfNegative val="0"/>
          <c:dLbls>
            <c:numFmt formatCode="0.00\x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Summary!$C$4:$E$4</c:f>
              <c:multiLvlStrCache>
                <c:ptCount val="1"/>
                <c:lvl>
                  <c:pt idx="0">
                    <c:v>Axis Bank</c:v>
                  </c:pt>
                </c:lvl>
                <c:lvl>
                  <c:pt idx="0">
                    <c:v>ICICI Bank</c:v>
                  </c:pt>
                </c:lvl>
                <c:lvl>
                  <c:pt idx="0">
                    <c:v>HDFC Bank</c:v>
                  </c:pt>
                </c:lvl>
              </c:multiLvlStrCache>
            </c:multiLvlStrRef>
          </c:cat>
          <c:val>
            <c:numRef>
              <c:f>Summary!$C$25:$E$25</c:f>
              <c:numCache>
                <c:formatCode>0.00\x</c:formatCode>
                <c:ptCount val="3"/>
                <c:pt idx="0">
                  <c:v>1.86406649616368</c:v>
                </c:pt>
                <c:pt idx="1">
                  <c:v>2.58703703703704</c:v>
                </c:pt>
                <c:pt idx="2">
                  <c:v>1.7479674796748</c:v>
                </c:pt>
              </c:numCache>
            </c:numRef>
          </c:val>
        </c:ser>
        <c:ser>
          <c:idx val="1"/>
          <c:order val="1"/>
          <c:tx>
            <c:strRef>
              <c:f>"Justified P/B"</c:f>
              <c:strCache>
                <c:ptCount val="1"/>
                <c:pt idx="0">
                  <c:v>Justified P/B</c:v>
                </c:pt>
              </c:strCache>
            </c:strRef>
          </c:tx>
          <c:spPr>
            <a:solidFill>
              <a:srgbClr val="c0972f"/>
            </a:solidFill>
            <a:ln w="9360">
              <a:solidFill>
                <a:srgbClr val="c0972f"/>
              </a:solidFill>
              <a:round/>
            </a:ln>
          </c:spPr>
          <c:invertIfNegative val="0"/>
          <c:dLbls>
            <c:numFmt formatCode="0.00\x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Summary!$C$4:$E$4</c:f>
              <c:multiLvlStrCache>
                <c:ptCount val="1"/>
                <c:lvl>
                  <c:pt idx="0">
                    <c:v>Axis Bank</c:v>
                  </c:pt>
                </c:lvl>
                <c:lvl>
                  <c:pt idx="0">
                    <c:v>ICICI Bank</c:v>
                  </c:pt>
                </c:lvl>
                <c:lvl>
                  <c:pt idx="0">
                    <c:v>HDFC Bank</c:v>
                  </c:pt>
                </c:lvl>
              </c:multiLvlStrCache>
            </c:multiLvlStrRef>
          </c:cat>
          <c:val>
            <c:numRef>
              <c:f>Summary!$C$27:$E$27</c:f>
              <c:numCache>
                <c:formatCode>0.00\x</c:formatCode>
                <c:ptCount val="3"/>
                <c:pt idx="0">
                  <c:v>1.4</c:v>
                </c:pt>
                <c:pt idx="1">
                  <c:v>1.975</c:v>
                </c:pt>
                <c:pt idx="2">
                  <c:v>1.275</c:v>
                </c:pt>
              </c:numCache>
            </c:numRef>
          </c:val>
        </c:ser>
        <c:gapWidth val="150"/>
        <c:overlap val="0"/>
        <c:axId val="67343941"/>
        <c:axId val="61033783"/>
      </c:barChart>
      <c:catAx>
        <c:axId val="6734394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1033783"/>
        <c:crosses val="autoZero"/>
        <c:auto val="1"/>
        <c:lblAlgn val="ctr"/>
        <c:lblOffset val="100"/>
        <c:noMultiLvlLbl val="0"/>
      </c:catAx>
      <c:valAx>
        <c:axId val="61033783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times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\x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34394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Capital ratios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"CRAR"</c:f>
              <c:strCache>
                <c:ptCount val="1"/>
                <c:pt idx="0">
                  <c:v>CRAR</c:v>
                </c:pt>
              </c:strCache>
            </c:strRef>
          </c:tx>
          <c:spPr>
            <a:solidFill>
              <a:srgbClr val="003366"/>
            </a:solidFill>
            <a:ln w="9360">
              <a:solidFill>
                <a:srgbClr val="003366"/>
              </a:solidFill>
              <a:round/>
            </a:ln>
          </c:spPr>
          <c:invertIfNegative val="0"/>
          <c:dLbls>
            <c:numFmt formatCode="0.0%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Summary!$C$4:$E$4</c:f>
              <c:multiLvlStrCache>
                <c:ptCount val="1"/>
                <c:lvl>
                  <c:pt idx="0">
                    <c:v>Axis Bank</c:v>
                  </c:pt>
                </c:lvl>
                <c:lvl>
                  <c:pt idx="0">
                    <c:v>ICICI Bank</c:v>
                  </c:pt>
                </c:lvl>
                <c:lvl>
                  <c:pt idx="0">
                    <c:v>HDFC Bank</c:v>
                  </c:pt>
                </c:lvl>
              </c:multiLvlStrCache>
            </c:multiLvlStrRef>
          </c:cat>
          <c:val>
            <c:numRef>
              <c:f>Summary!$C$22:$E$22</c:f>
              <c:numCache>
                <c:formatCode>0.00%;\(0.00%\);\-</c:formatCode>
                <c:ptCount val="3"/>
                <c:pt idx="0">
                  <c:v>0.189</c:v>
                </c:pt>
                <c:pt idx="1">
                  <c:v>0.1668</c:v>
                </c:pt>
                <c:pt idx="2">
                  <c:v>0.1627</c:v>
                </c:pt>
              </c:numCache>
            </c:numRef>
          </c:val>
        </c:ser>
        <c:ser>
          <c:idx val="1"/>
          <c:order val="1"/>
          <c:tx>
            <c:strRef>
              <c:f>"CET1 ratio"</c:f>
              <c:strCache>
                <c:ptCount val="1"/>
                <c:pt idx="0">
                  <c:v>CET1 ratio</c:v>
                </c:pt>
              </c:strCache>
            </c:strRef>
          </c:tx>
          <c:spPr>
            <a:solidFill>
              <a:srgbClr val="c0972f"/>
            </a:solidFill>
            <a:ln w="9360">
              <a:solidFill>
                <a:srgbClr val="c0972f"/>
              </a:solidFill>
              <a:round/>
            </a:ln>
          </c:spPr>
          <c:invertIfNegative val="0"/>
          <c:dLbls>
            <c:numFmt formatCode="0.0%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Summary!$C$4:$E$4</c:f>
              <c:multiLvlStrCache>
                <c:ptCount val="1"/>
                <c:lvl>
                  <c:pt idx="0">
                    <c:v>Axis Bank</c:v>
                  </c:pt>
                </c:lvl>
                <c:lvl>
                  <c:pt idx="0">
                    <c:v>ICICI Bank</c:v>
                  </c:pt>
                </c:lvl>
                <c:lvl>
                  <c:pt idx="0">
                    <c:v>HDFC Bank</c:v>
                  </c:pt>
                </c:lvl>
              </c:multiLvlStrCache>
            </c:multiLvlStrRef>
          </c:cat>
          <c:val>
            <c:numRef>
              <c:f>Summary!$C$23:$E$23</c:f>
              <c:numCache>
                <c:formatCode>0.00%;\(0.00%\);\-</c:formatCode>
                <c:ptCount val="3"/>
                <c:pt idx="0">
                  <c:v>0.171</c:v>
                </c:pt>
                <c:pt idx="1">
                  <c:v>0.1601</c:v>
                </c:pt>
                <c:pt idx="2">
                  <c:v>0.1461</c:v>
                </c:pt>
              </c:numCache>
            </c:numRef>
          </c:val>
        </c:ser>
        <c:gapWidth val="150"/>
        <c:overlap val="0"/>
        <c:axId val="77358213"/>
        <c:axId val="8876725"/>
      </c:barChart>
      <c:catAx>
        <c:axId val="7735821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876725"/>
        <c:crosses val="autoZero"/>
        <c:auto val="1"/>
        <c:lblAlgn val="ctr"/>
        <c:lblOffset val="100"/>
        <c:noMultiLvlLbl val="0"/>
      </c:catAx>
      <c:valAx>
        <c:axId val="8876725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%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735821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30</xdr:row>
      <xdr:rowOff>0</xdr:rowOff>
    </xdr:from>
    <xdr:to>
      <xdr:col>2</xdr:col>
      <xdr:colOff>725040</xdr:colOff>
      <xdr:row>44</xdr:row>
      <xdr:rowOff>32400</xdr:rowOff>
    </xdr:to>
    <xdr:graphicFrame>
      <xdr:nvGraphicFramePr>
        <xdr:cNvPr id="0" name="Chart 1"/>
        <xdr:cNvGraphicFramePr/>
      </xdr:nvGraphicFramePr>
      <xdr:xfrm>
        <a:off x="0" y="6638760"/>
        <a:ext cx="43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0</xdr:colOff>
      <xdr:row>30</xdr:row>
      <xdr:rowOff>0</xdr:rowOff>
    </xdr:from>
    <xdr:to>
      <xdr:col>5</xdr:col>
      <xdr:colOff>2205000</xdr:colOff>
      <xdr:row>44</xdr:row>
      <xdr:rowOff>32400</xdr:rowOff>
    </xdr:to>
    <xdr:graphicFrame>
      <xdr:nvGraphicFramePr>
        <xdr:cNvPr id="1" name="Chart 2"/>
        <xdr:cNvGraphicFramePr/>
      </xdr:nvGraphicFramePr>
      <xdr:xfrm>
        <a:off x="4651920" y="6638760"/>
        <a:ext cx="43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46</xdr:row>
      <xdr:rowOff>0</xdr:rowOff>
    </xdr:from>
    <xdr:to>
      <xdr:col>2</xdr:col>
      <xdr:colOff>725040</xdr:colOff>
      <xdr:row>60</xdr:row>
      <xdr:rowOff>32760</xdr:rowOff>
    </xdr:to>
    <xdr:graphicFrame>
      <xdr:nvGraphicFramePr>
        <xdr:cNvPr id="2" name="Chart 3"/>
        <xdr:cNvGraphicFramePr/>
      </xdr:nvGraphicFramePr>
      <xdr:xfrm>
        <a:off x="0" y="9686880"/>
        <a:ext cx="43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3</xdr:col>
      <xdr:colOff>0</xdr:colOff>
      <xdr:row>46</xdr:row>
      <xdr:rowOff>0</xdr:rowOff>
    </xdr:from>
    <xdr:to>
      <xdr:col>5</xdr:col>
      <xdr:colOff>2205000</xdr:colOff>
      <xdr:row>60</xdr:row>
      <xdr:rowOff>32760</xdr:rowOff>
    </xdr:to>
    <xdr:graphicFrame>
      <xdr:nvGraphicFramePr>
        <xdr:cNvPr id="3" name="Chart 4"/>
        <xdr:cNvGraphicFramePr/>
      </xdr:nvGraphicFramePr>
      <xdr:xfrm>
        <a:off x="4651920" y="9686880"/>
        <a:ext cx="43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how-to-analyse-bank-performance" TargetMode="External"/><Relationship Id="rId2" Type="http://schemas.openxmlformats.org/officeDocument/2006/relationships/hyperlink" Target="bank-performance-analysis-q2fy27.xlsx" TargetMode="External"/><Relationship Id="rId3" Type="http://schemas.openxmlformats.org/officeDocument/2006/relationships/hyperlink" Target="bank-performance-analysis-q2fy27.xlsx" TargetMode="External"/><Relationship Id="rId4" Type="http://schemas.openxmlformats.org/officeDocument/2006/relationships/hyperlink" Target="bank-performance-analysis-q2fy27.xlsx" TargetMode="External"/><Relationship Id="rId5" Type="http://schemas.openxmlformats.org/officeDocument/2006/relationships/hyperlink" Target="bank-performance-analysis-q2fy27.xlsx" TargetMode="External"/><Relationship Id="rId6" Type="http://schemas.openxmlformats.org/officeDocument/2006/relationships/hyperlink" Target="bank-performance-analysis-q2fy27.xlsx" TargetMode="External"/><Relationship Id="rId7" Type="http://schemas.openxmlformats.org/officeDocument/2006/relationships/hyperlink" Target="bank-performance-analysis-q2fy27.xlsx" TargetMode="External"/><Relationship Id="rId8" Type="http://schemas.openxmlformats.org/officeDocument/2006/relationships/hyperlink" Target="bank-performance-analysis-q2fy27.xlsx" TargetMode="External"/><Relationship Id="rId9" Type="http://schemas.openxmlformats.org/officeDocument/2006/relationships/hyperlink" Target="bank-performance-analysis-q2fy27.xlsx" TargetMode="External"/><Relationship Id="rId10" Type="http://schemas.openxmlformats.org/officeDocument/2006/relationships/hyperlink" Target="bank-performance-analysis-q2fy27.xlsx" TargetMode="External"/><Relationship Id="rId11" Type="http://schemas.openxmlformats.org/officeDocument/2006/relationships/hyperlink" Target="bank-performance-analysis-q2fy27.xlsx" TargetMode="External"/><Relationship Id="rId12" Type="http://schemas.openxmlformats.org/officeDocument/2006/relationships/hyperlink" Target="bank-performance-analysis-q2fy27.xlsx" TargetMode="External"/><Relationship Id="rId13" Type="http://schemas.openxmlformats.org/officeDocument/2006/relationships/hyperlink" Target="https://themountainpathacademy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<Relationship Id="rId2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3366"/>
    <pageSetUpPr fitToPage="true"/>
  </sheetPr>
  <dimension ref="A1:D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70"/>
    <col collapsed="false" customWidth="true" hidden="false" outlineLevel="0" max="4" min="4" style="0" width="3"/>
  </cols>
  <sheetData>
    <row r="1" customFormat="false" ht="15" hidden="false" customHeight="false" outlineLevel="0" collapsed="false">
      <c r="A1" s="1"/>
      <c r="B1" s="1"/>
      <c r="C1" s="1"/>
      <c r="D1" s="1"/>
    </row>
    <row r="2" customFormat="false" ht="15" hidden="false" customHeight="false" outlineLevel="0" collapsed="false">
      <c r="A2" s="1"/>
      <c r="B2" s="2" t="s">
        <v>0</v>
      </c>
      <c r="C2" s="1"/>
      <c r="D2" s="1"/>
    </row>
    <row r="3" customFormat="false" ht="26.8" hidden="false" customHeight="false" outlineLevel="0" collapsed="false">
      <c r="A3" s="1"/>
      <c r="B3" s="3" t="s">
        <v>1</v>
      </c>
      <c r="C3" s="1"/>
      <c r="D3" s="1"/>
    </row>
    <row r="4" customFormat="false" ht="15" hidden="false" customHeight="false" outlineLevel="0" collapsed="false">
      <c r="A4" s="1"/>
      <c r="B4" s="1"/>
      <c r="C4" s="1"/>
      <c r="D4" s="1"/>
    </row>
    <row r="5" customFormat="false" ht="15" hidden="false" customHeight="false" outlineLevel="0" collapsed="false">
      <c r="A5" s="1"/>
      <c r="B5" s="4" t="s">
        <v>2</v>
      </c>
      <c r="C5" s="1"/>
      <c r="D5" s="1"/>
    </row>
    <row r="6" customFormat="false" ht="15" hidden="false" customHeight="false" outlineLevel="0" collapsed="false">
      <c r="A6" s="1"/>
      <c r="B6" s="5" t="s">
        <v>3</v>
      </c>
      <c r="C6" s="1"/>
      <c r="D6" s="1"/>
    </row>
    <row r="7" customFormat="false" ht="15" hidden="false" customHeight="false" outlineLevel="0" collapsed="false">
      <c r="A7" s="1"/>
      <c r="B7" s="6" t="s">
        <v>4</v>
      </c>
      <c r="C7" s="1"/>
      <c r="D7" s="1"/>
    </row>
    <row r="8" customFormat="false" ht="15" hidden="false" customHeight="false" outlineLevel="0" collapsed="false">
      <c r="A8" s="1"/>
      <c r="B8" s="1"/>
      <c r="C8" s="1"/>
      <c r="D8" s="1"/>
    </row>
    <row r="9" customFormat="false" ht="15" hidden="false" customHeight="false" outlineLevel="0" collapsed="false">
      <c r="B9" s="7" t="s">
        <v>5</v>
      </c>
      <c r="C9" s="8" t="s">
        <v>6</v>
      </c>
    </row>
    <row r="11" customFormat="false" ht="16.15" hidden="false" customHeight="false" outlineLevel="0" collapsed="false">
      <c r="B11" s="9" t="s">
        <v>7</v>
      </c>
    </row>
    <row r="12" customFormat="false" ht="30" hidden="false" customHeight="true" outlineLevel="0" collapsed="false">
      <c r="B12" s="10" t="s">
        <v>8</v>
      </c>
      <c r="C12" s="11" t="s">
        <v>9</v>
      </c>
    </row>
    <row r="13" customFormat="false" ht="30" hidden="false" customHeight="true" outlineLevel="0" collapsed="false">
      <c r="B13" s="10" t="s">
        <v>10</v>
      </c>
      <c r="C13" s="11" t="s">
        <v>11</v>
      </c>
    </row>
    <row r="14" customFormat="false" ht="30" hidden="false" customHeight="true" outlineLevel="0" collapsed="false">
      <c r="B14" s="10" t="s">
        <v>12</v>
      </c>
      <c r="C14" s="11" t="s">
        <v>13</v>
      </c>
    </row>
    <row r="15" customFormat="false" ht="30" hidden="false" customHeight="true" outlineLevel="0" collapsed="false">
      <c r="B15" s="10" t="s">
        <v>14</v>
      </c>
      <c r="C15" s="11" t="s">
        <v>15</v>
      </c>
    </row>
    <row r="16" customFormat="false" ht="30" hidden="false" customHeight="true" outlineLevel="0" collapsed="false">
      <c r="B16" s="10" t="s">
        <v>16</v>
      </c>
      <c r="C16" s="11" t="s">
        <v>17</v>
      </c>
    </row>
    <row r="18" customFormat="false" ht="16.15" hidden="false" customHeight="false" outlineLevel="0" collapsed="false">
      <c r="B18" s="9" t="s">
        <v>18</v>
      </c>
    </row>
    <row r="19" customFormat="false" ht="15" hidden="false" customHeight="false" outlineLevel="0" collapsed="false">
      <c r="B19" s="12" t="s">
        <v>19</v>
      </c>
      <c r="C19" s="13" t="s">
        <v>20</v>
      </c>
    </row>
    <row r="20" customFormat="false" ht="15" hidden="false" customHeight="false" outlineLevel="0" collapsed="false">
      <c r="B20" s="14" t="s">
        <v>19</v>
      </c>
      <c r="C20" s="13" t="s">
        <v>21</v>
      </c>
    </row>
    <row r="21" customFormat="false" ht="15" hidden="false" customHeight="false" outlineLevel="0" collapsed="false">
      <c r="B21" s="15" t="s">
        <v>19</v>
      </c>
      <c r="C21" s="13" t="s">
        <v>22</v>
      </c>
    </row>
    <row r="22" customFormat="false" ht="15" hidden="false" customHeight="false" outlineLevel="0" collapsed="false">
      <c r="B22" s="16" t="s">
        <v>19</v>
      </c>
      <c r="C22" s="13" t="s">
        <v>23</v>
      </c>
    </row>
    <row r="24" customFormat="false" ht="16.15" hidden="false" customHeight="false" outlineLevel="0" collapsed="false">
      <c r="B24" s="9" t="s">
        <v>24</v>
      </c>
    </row>
    <row r="25" customFormat="false" ht="15" hidden="false" customHeight="false" outlineLevel="0" collapsed="false">
      <c r="B25" s="17" t="s">
        <v>25</v>
      </c>
      <c r="C25" s="13" t="s">
        <v>26</v>
      </c>
    </row>
    <row r="26" customFormat="false" ht="15" hidden="false" customHeight="false" outlineLevel="0" collapsed="false">
      <c r="B26" s="17" t="s">
        <v>27</v>
      </c>
      <c r="C26" s="13" t="s">
        <v>28</v>
      </c>
    </row>
    <row r="27" customFormat="false" ht="15" hidden="false" customHeight="false" outlineLevel="0" collapsed="false">
      <c r="B27" s="17" t="s">
        <v>29</v>
      </c>
      <c r="C27" s="13" t="s">
        <v>30</v>
      </c>
    </row>
    <row r="28" customFormat="false" ht="15" hidden="false" customHeight="false" outlineLevel="0" collapsed="false">
      <c r="B28" s="17" t="s">
        <v>31</v>
      </c>
      <c r="C28" s="13" t="s">
        <v>32</v>
      </c>
    </row>
    <row r="29" customFormat="false" ht="15" hidden="false" customHeight="false" outlineLevel="0" collapsed="false">
      <c r="B29" s="17" t="s">
        <v>33</v>
      </c>
      <c r="C29" s="13" t="s">
        <v>34</v>
      </c>
    </row>
    <row r="30" customFormat="false" ht="15" hidden="false" customHeight="false" outlineLevel="0" collapsed="false">
      <c r="B30" s="17" t="s">
        <v>35</v>
      </c>
      <c r="C30" s="13" t="s">
        <v>36</v>
      </c>
    </row>
    <row r="31" customFormat="false" ht="15" hidden="false" customHeight="false" outlineLevel="0" collapsed="false">
      <c r="B31" s="17" t="s">
        <v>37</v>
      </c>
      <c r="C31" s="13" t="s">
        <v>38</v>
      </c>
    </row>
    <row r="32" customFormat="false" ht="15" hidden="false" customHeight="false" outlineLevel="0" collapsed="false">
      <c r="B32" s="17" t="s">
        <v>39</v>
      </c>
      <c r="C32" s="13" t="s">
        <v>40</v>
      </c>
    </row>
    <row r="33" customFormat="false" ht="15" hidden="false" customHeight="false" outlineLevel="0" collapsed="false">
      <c r="B33" s="17" t="s">
        <v>41</v>
      </c>
      <c r="C33" s="13" t="s">
        <v>42</v>
      </c>
    </row>
    <row r="34" customFormat="false" ht="15" hidden="false" customHeight="false" outlineLevel="0" collapsed="false">
      <c r="B34" s="17" t="s">
        <v>43</v>
      </c>
      <c r="C34" s="13" t="s">
        <v>44</v>
      </c>
    </row>
    <row r="35" customFormat="false" ht="15" hidden="false" customHeight="false" outlineLevel="0" collapsed="false">
      <c r="B35" s="17" t="s">
        <v>45</v>
      </c>
      <c r="C35" s="13" t="s">
        <v>46</v>
      </c>
    </row>
    <row r="37" customFormat="false" ht="16.15" hidden="false" customHeight="false" outlineLevel="0" collapsed="false">
      <c r="B37" s="9" t="s">
        <v>47</v>
      </c>
    </row>
    <row r="38" customFormat="false" ht="39.75" hidden="false" customHeight="true" outlineLevel="0" collapsed="false">
      <c r="C38" s="18" t="s">
        <v>48</v>
      </c>
    </row>
    <row r="39" customFormat="false" ht="39.75" hidden="false" customHeight="true" outlineLevel="0" collapsed="false">
      <c r="C39" s="18" t="s">
        <v>49</v>
      </c>
    </row>
    <row r="40" customFormat="false" ht="39.75" hidden="false" customHeight="true" outlineLevel="0" collapsed="false">
      <c r="C40" s="18" t="s">
        <v>50</v>
      </c>
    </row>
    <row r="41" customFormat="false" ht="39.75" hidden="false" customHeight="true" outlineLevel="0" collapsed="false">
      <c r="C41" s="18" t="s">
        <v>51</v>
      </c>
    </row>
    <row r="43" customFormat="false" ht="15" hidden="false" customHeight="false" outlineLevel="0" collapsed="false">
      <c r="B43" s="17" t="s">
        <v>52</v>
      </c>
    </row>
  </sheetData>
  <hyperlinks>
    <hyperlink ref="C9" r:id="rId1" display="https://themountainpathacademy.com/how-to-analyse-bank-performance"/>
    <hyperlink ref="B25" r:id="rId2" location="Summary!A1" display="Summary"/>
    <hyperlink ref="B26" r:id="rId3" location="Inputs!A1" display="Inputs"/>
    <hyperlink ref="B27" r:id="rId4" location="Earnings!A1" display="Earnings"/>
    <hyperlink ref="B28" r:id="rId5" location="Funding!A1" display="Funding"/>
    <hyperlink ref="B29" r:id="rId6" location="AssetQuality!A1" display="AssetQuality"/>
    <hyperlink ref="B30" r:id="rId7" location="Capital!A1" display="Capital"/>
    <hyperlink ref="B31" r:id="rId8" location="ROA_Tree!A1" display="ROA_Tree"/>
    <hyperlink ref="B32" r:id="rId9" location="Valuation!A1" display="Valuation"/>
    <hyperlink ref="B33" r:id="rId10" location="SampleBank!A1" display="SampleBank"/>
    <hyperlink ref="B34" r:id="rId11" location="Practice!A1" display="Practice"/>
    <hyperlink ref="B35" r:id="rId12" location="Abbreviations!A1" display="Abbreviations"/>
    <hyperlink ref="B43" r:id="rId13" display="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The Mountain Path Academy · themountainpathacademy.com ·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972F"/>
    <pageSetUpPr fitToPage="true"/>
  </sheetPr>
  <dimension ref="A1:F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1"/>
    <col collapsed="false" customWidth="true" hidden="false" outlineLevel="0" max="5" min="3" style="0" width="15"/>
    <col collapsed="false" customWidth="true" hidden="false" outlineLevel="0" max="6" min="6" style="0" width="34"/>
  </cols>
  <sheetData>
    <row r="1" customFormat="false" ht="30" hidden="false" customHeight="true" outlineLevel="0" collapsed="false">
      <c r="A1" s="19" t="s">
        <v>53</v>
      </c>
      <c r="B1" s="19"/>
      <c r="C1" s="19"/>
      <c r="D1" s="19"/>
      <c r="E1" s="19"/>
      <c r="F1" s="19"/>
    </row>
    <row r="2" customFormat="false" ht="19.5" hidden="false" customHeight="true" outlineLevel="0" collapsed="false">
      <c r="A2" s="20" t="s">
        <v>54</v>
      </c>
      <c r="B2" s="20"/>
      <c r="C2" s="20"/>
      <c r="D2" s="20"/>
      <c r="E2" s="20"/>
      <c r="F2" s="20"/>
    </row>
    <row r="4" customFormat="false" ht="27.75" hidden="false" customHeight="true" outlineLevel="0" collapsed="false">
      <c r="A4" s="21" t="s">
        <v>55</v>
      </c>
      <c r="B4" s="22" t="s">
        <v>56</v>
      </c>
      <c r="C4" s="22" t="s">
        <v>57</v>
      </c>
      <c r="D4" s="22" t="s">
        <v>58</v>
      </c>
      <c r="E4" s="22" t="s">
        <v>59</v>
      </c>
      <c r="F4" s="22" t="s">
        <v>60</v>
      </c>
    </row>
    <row r="5" customFormat="false" ht="21.75" hidden="false" customHeight="true" outlineLevel="0" collapsed="false">
      <c r="A5" s="23" t="s">
        <v>29</v>
      </c>
      <c r="B5" s="23"/>
      <c r="C5" s="23"/>
      <c r="D5" s="23"/>
      <c r="E5" s="23"/>
      <c r="F5" s="23"/>
    </row>
    <row r="6" customFormat="false" ht="15" hidden="false" customHeight="false" outlineLevel="0" collapsed="false">
      <c r="A6" s="24" t="s">
        <v>61</v>
      </c>
      <c r="B6" s="25" t="s">
        <v>62</v>
      </c>
      <c r="C6" s="26" t="n">
        <f aca="false">Inputs!C12</f>
        <v>19510</v>
      </c>
      <c r="D6" s="26" t="n">
        <f aca="false">Inputs!D12</f>
        <v>14843</v>
      </c>
      <c r="E6" s="26" t="n">
        <f aca="false">Inputs!E12</f>
        <v>7003</v>
      </c>
      <c r="F6" s="27" t="s">
        <v>63</v>
      </c>
    </row>
    <row r="7" customFormat="false" ht="15" hidden="false" customHeight="false" outlineLevel="0" collapsed="false">
      <c r="A7" s="24" t="s">
        <v>64</v>
      </c>
      <c r="B7" s="25" t="s">
        <v>65</v>
      </c>
      <c r="C7" s="28" t="n">
        <f aca="false">Inputs!C14</f>
        <v>0.047</v>
      </c>
      <c r="D7" s="28" t="n">
        <f aca="false">Inputs!D14</f>
        <v>0.201</v>
      </c>
      <c r="E7" s="28" t="n">
        <f aca="false">Inputs!E14</f>
        <v>0.376</v>
      </c>
      <c r="F7" s="27" t="s">
        <v>66</v>
      </c>
    </row>
    <row r="8" customFormat="false" ht="15" hidden="false" customHeight="false" outlineLevel="0" collapsed="false">
      <c r="A8" s="24" t="s">
        <v>67</v>
      </c>
      <c r="B8" s="25" t="s">
        <v>65</v>
      </c>
      <c r="C8" s="28" t="n">
        <f aca="false">Inputs!C15</f>
        <v>0.097</v>
      </c>
      <c r="D8" s="28" t="n">
        <f aca="false">Inputs!D15</f>
        <v>0.177</v>
      </c>
      <c r="E8" s="28" t="n">
        <f aca="false">Inputs!E15</f>
        <v>0.118</v>
      </c>
      <c r="F8" s="27" t="s">
        <v>63</v>
      </c>
    </row>
    <row r="9" customFormat="false" ht="15" hidden="false" customHeight="false" outlineLevel="0" collapsed="false">
      <c r="A9" s="24" t="s">
        <v>68</v>
      </c>
      <c r="B9" s="25" t="s">
        <v>65</v>
      </c>
      <c r="C9" s="29" t="n">
        <f aca="false">Inputs!C22</f>
        <v>0.0332</v>
      </c>
      <c r="D9" s="29" t="n">
        <f aca="false">Inputs!D22</f>
        <v>0.0418</v>
      </c>
      <c r="E9" s="29" t="n">
        <f aca="false">Inputs!E22</f>
        <v>0.0336</v>
      </c>
      <c r="F9" s="27" t="s">
        <v>63</v>
      </c>
    </row>
    <row r="10" customFormat="false" ht="15" hidden="false" customHeight="false" outlineLevel="0" collapsed="false">
      <c r="A10" s="24" t="s">
        <v>69</v>
      </c>
      <c r="B10" s="25" t="s">
        <v>65</v>
      </c>
      <c r="C10" s="28" t="n">
        <f aca="false">Earnings!C17</f>
        <v>0.391545749138269</v>
      </c>
      <c r="D10" s="28" t="n">
        <f aca="false">Earnings!D17</f>
        <v>0.383723716527886</v>
      </c>
      <c r="E10" s="28" t="n">
        <f aca="false">Earnings!E17</f>
        <v>0.4939731531367</v>
      </c>
      <c r="F10" s="27" t="s">
        <v>70</v>
      </c>
    </row>
    <row r="11" customFormat="false" ht="15" hidden="false" customHeight="false" outlineLevel="0" collapsed="false">
      <c r="A11" s="24" t="s">
        <v>71</v>
      </c>
      <c r="B11" s="25" t="s">
        <v>65</v>
      </c>
      <c r="C11" s="28" t="n">
        <f aca="false">Earnings!C19</f>
        <v>0.121238847993487</v>
      </c>
      <c r="D11" s="28" t="n">
        <f aca="false">Earnings!D19</f>
        <v>0.0413608748481166</v>
      </c>
      <c r="E11" s="28" t="n">
        <f aca="false">Earnings!E19</f>
        <v>0.152846702156456</v>
      </c>
      <c r="F11" s="27" t="s">
        <v>70</v>
      </c>
    </row>
    <row r="12" customFormat="false" ht="15" hidden="false" customHeight="false" outlineLevel="0" collapsed="false">
      <c r="A12" s="24" t="s">
        <v>72</v>
      </c>
      <c r="B12" s="25" t="s">
        <v>65</v>
      </c>
      <c r="C12" s="29" t="n">
        <f aca="false">Earnings!C29</f>
        <v>0.0187103035905139</v>
      </c>
      <c r="D12" s="29" t="n">
        <f aca="false">Earnings!D29</f>
        <v>0.0244854729863057</v>
      </c>
      <c r="E12" s="29" t="n">
        <f aca="false">Earnings!E29</f>
        <v>0.0153080996682064</v>
      </c>
      <c r="F12" s="27" t="s">
        <v>63</v>
      </c>
    </row>
    <row r="13" customFormat="false" ht="21.75" hidden="false" customHeight="true" outlineLevel="0" collapsed="false">
      <c r="A13" s="23" t="s">
        <v>31</v>
      </c>
      <c r="B13" s="23"/>
      <c r="C13" s="23"/>
      <c r="D13" s="23"/>
      <c r="E13" s="23"/>
      <c r="F13" s="23"/>
    </row>
    <row r="14" customFormat="false" ht="15" hidden="false" customHeight="false" outlineLevel="0" collapsed="false">
      <c r="A14" s="24" t="s">
        <v>73</v>
      </c>
      <c r="B14" s="25" t="s">
        <v>65</v>
      </c>
      <c r="C14" s="28" t="n">
        <f aca="false">Funding!C9</f>
        <v>0.316</v>
      </c>
      <c r="D14" s="28" t="n">
        <f aca="false">Funding!D9</f>
        <v>0.358</v>
      </c>
      <c r="E14" s="28" t="n">
        <f aca="false">Funding!E9</f>
        <v>0.36</v>
      </c>
      <c r="F14" s="27" t="s">
        <v>63</v>
      </c>
    </row>
    <row r="15" customFormat="false" ht="15" hidden="false" customHeight="false" outlineLevel="0" collapsed="false">
      <c r="A15" s="24" t="s">
        <v>74</v>
      </c>
      <c r="B15" s="25" t="s">
        <v>65</v>
      </c>
      <c r="C15" s="28" t="n">
        <f aca="false">Funding!C8</f>
        <v>0.967572278656008</v>
      </c>
      <c r="D15" s="28" t="n">
        <f aca="false">Funding!D8</f>
        <v>0.893658536585366</v>
      </c>
      <c r="E15" s="28" t="n">
        <f aca="false">Funding!E8</f>
        <v>0.946049972935115</v>
      </c>
      <c r="F15" s="27" t="s">
        <v>75</v>
      </c>
    </row>
    <row r="16" customFormat="false" ht="21.75" hidden="false" customHeight="true" outlineLevel="0" collapsed="false">
      <c r="A16" s="23" t="s">
        <v>76</v>
      </c>
      <c r="B16" s="23"/>
      <c r="C16" s="23"/>
      <c r="D16" s="23"/>
      <c r="E16" s="23"/>
      <c r="F16" s="23"/>
    </row>
    <row r="17" customFormat="false" ht="15" hidden="false" customHeight="false" outlineLevel="0" collapsed="false">
      <c r="A17" s="24" t="s">
        <v>77</v>
      </c>
      <c r="B17" s="25" t="s">
        <v>65</v>
      </c>
      <c r="C17" s="29" t="n">
        <f aca="false">AssetQuality!C6</f>
        <v>0.0111</v>
      </c>
      <c r="D17" s="29" t="n">
        <f aca="false">AssetQuality!D6</f>
        <v>0.012</v>
      </c>
      <c r="E17" s="29" t="n">
        <f aca="false">AssetQuality!E6</f>
        <v>0.0116</v>
      </c>
      <c r="F17" s="27" t="s">
        <v>70</v>
      </c>
    </row>
    <row r="18" customFormat="false" ht="15" hidden="false" customHeight="false" outlineLevel="0" collapsed="false">
      <c r="A18" s="24" t="s">
        <v>78</v>
      </c>
      <c r="B18" s="25" t="s">
        <v>65</v>
      </c>
      <c r="C18" s="29" t="n">
        <f aca="false">AssetQuality!C7</f>
        <v>0.0037</v>
      </c>
      <c r="D18" s="29" t="n">
        <f aca="false">AssetQuality!D7</f>
        <v>0.003</v>
      </c>
      <c r="E18" s="29" t="n">
        <f aca="false">AssetQuality!E7</f>
        <v>0.0035</v>
      </c>
      <c r="F18" s="27" t="s">
        <v>70</v>
      </c>
    </row>
    <row r="19" customFormat="false" ht="15" hidden="false" customHeight="false" outlineLevel="0" collapsed="false">
      <c r="A19" s="24" t="s">
        <v>79</v>
      </c>
      <c r="B19" s="25" t="s">
        <v>65</v>
      </c>
      <c r="C19" s="28" t="n">
        <f aca="false">AssetQuality!C8</f>
        <v>0.666666666666667</v>
      </c>
      <c r="D19" s="28" t="n">
        <f aca="false">AssetQuality!D8</f>
        <v>0.75</v>
      </c>
      <c r="E19" s="28" t="n">
        <f aca="false">AssetQuality!E8</f>
        <v>0.7</v>
      </c>
      <c r="F19" s="27" t="s">
        <v>63</v>
      </c>
    </row>
    <row r="20" customFormat="false" ht="15" hidden="false" customHeight="false" outlineLevel="0" collapsed="false">
      <c r="A20" s="24" t="s">
        <v>80</v>
      </c>
      <c r="B20" s="25" t="s">
        <v>65</v>
      </c>
      <c r="C20" s="29" t="n">
        <f aca="false">AssetQuality!C11</f>
        <v>0.0044</v>
      </c>
      <c r="D20" s="29" t="n">
        <f aca="false">AssetQuality!D11</f>
        <v>0.00185807860262009</v>
      </c>
      <c r="E20" s="29" t="n">
        <f aca="false">AssetQuality!E11</f>
        <v>0.00493256665989676</v>
      </c>
      <c r="F20" s="27" t="s">
        <v>70</v>
      </c>
    </row>
    <row r="21" customFormat="false" ht="21.75" hidden="false" customHeight="true" outlineLevel="0" collapsed="false">
      <c r="A21" s="23" t="s">
        <v>35</v>
      </c>
      <c r="B21" s="23"/>
      <c r="C21" s="23"/>
      <c r="D21" s="23"/>
      <c r="E21" s="23"/>
      <c r="F21" s="23"/>
    </row>
    <row r="22" customFormat="false" ht="15" hidden="false" customHeight="false" outlineLevel="0" collapsed="false">
      <c r="A22" s="24" t="s">
        <v>81</v>
      </c>
      <c r="B22" s="25" t="s">
        <v>65</v>
      </c>
      <c r="C22" s="29" t="n">
        <f aca="false">Capital!C6</f>
        <v>0.189</v>
      </c>
      <c r="D22" s="29" t="n">
        <f aca="false">Capital!D6</f>
        <v>0.1668</v>
      </c>
      <c r="E22" s="29" t="n">
        <f aca="false">Capital!E6</f>
        <v>0.1627</v>
      </c>
      <c r="F22" s="27" t="s">
        <v>63</v>
      </c>
    </row>
    <row r="23" customFormat="false" ht="15" hidden="false" customHeight="false" outlineLevel="0" collapsed="false">
      <c r="A23" s="24" t="s">
        <v>82</v>
      </c>
      <c r="B23" s="25" t="s">
        <v>65</v>
      </c>
      <c r="C23" s="29" t="n">
        <f aca="false">Capital!C9</f>
        <v>0.171</v>
      </c>
      <c r="D23" s="29" t="n">
        <f aca="false">Capital!D9</f>
        <v>0.1601</v>
      </c>
      <c r="E23" s="29" t="n">
        <f aca="false">Capital!E9</f>
        <v>0.1461</v>
      </c>
      <c r="F23" s="27" t="s">
        <v>63</v>
      </c>
    </row>
    <row r="24" customFormat="false" ht="21.75" hidden="false" customHeight="true" outlineLevel="0" collapsed="false">
      <c r="A24" s="23" t="s">
        <v>83</v>
      </c>
      <c r="B24" s="23"/>
      <c r="C24" s="23"/>
      <c r="D24" s="23"/>
      <c r="E24" s="23"/>
      <c r="F24" s="23"/>
    </row>
    <row r="25" customFormat="false" ht="15" hidden="false" customHeight="false" outlineLevel="0" collapsed="false">
      <c r="A25" s="24" t="s">
        <v>84</v>
      </c>
      <c r="B25" s="25" t="s">
        <v>85</v>
      </c>
      <c r="C25" s="30" t="n">
        <f aca="false">Valuation!C8</f>
        <v>1.86406649616368</v>
      </c>
      <c r="D25" s="30" t="n">
        <f aca="false">Valuation!D8</f>
        <v>2.58703703703704</v>
      </c>
      <c r="E25" s="30" t="n">
        <f aca="false">Valuation!E8</f>
        <v>1.7479674796748</v>
      </c>
      <c r="F25" s="27" t="s">
        <v>86</v>
      </c>
    </row>
    <row r="26" customFormat="false" ht="15" hidden="false" customHeight="false" outlineLevel="0" collapsed="false">
      <c r="A26" s="24" t="s">
        <v>87</v>
      </c>
      <c r="B26" s="25" t="s">
        <v>65</v>
      </c>
      <c r="C26" s="28" t="n">
        <f aca="false">Valuation!C17</f>
        <v>0.136</v>
      </c>
      <c r="D26" s="28" t="n">
        <f aca="false">Valuation!D17</f>
        <v>0.159</v>
      </c>
      <c r="E26" s="28" t="n">
        <f aca="false">Valuation!E17</f>
        <v>0.131</v>
      </c>
      <c r="F26" s="27" t="s">
        <v>63</v>
      </c>
    </row>
    <row r="27" customFormat="false" ht="15" hidden="false" customHeight="false" outlineLevel="0" collapsed="false">
      <c r="A27" s="24" t="s">
        <v>88</v>
      </c>
      <c r="B27" s="25" t="s">
        <v>85</v>
      </c>
      <c r="C27" s="30" t="n">
        <f aca="false">Valuation!C18</f>
        <v>1.4</v>
      </c>
      <c r="D27" s="30" t="n">
        <f aca="false">Valuation!D18</f>
        <v>1.975</v>
      </c>
      <c r="E27" s="30" t="n">
        <f aca="false">Valuation!E18</f>
        <v>1.275</v>
      </c>
      <c r="F27" s="27" t="s">
        <v>89</v>
      </c>
    </row>
    <row r="28" customFormat="false" ht="15" hidden="false" customHeight="false" outlineLevel="0" collapsed="false">
      <c r="A28" s="24" t="s">
        <v>90</v>
      </c>
      <c r="B28" s="25" t="s">
        <v>65</v>
      </c>
      <c r="C28" s="28" t="n">
        <f aca="false">Valuation!C20</f>
        <v>0.110041846744872</v>
      </c>
      <c r="D28" s="28" t="n">
        <f aca="false">Valuation!D20</f>
        <v>0.110536864710093</v>
      </c>
      <c r="E28" s="28" t="n">
        <f aca="false">Valuation!E20</f>
        <v>0.109176744186047</v>
      </c>
      <c r="F28" s="27" t="s">
        <v>91</v>
      </c>
    </row>
    <row r="30" customFormat="false" ht="21.75" hidden="false" customHeight="true" outlineLevel="0" collapsed="false">
      <c r="A30" s="23" t="s">
        <v>92</v>
      </c>
      <c r="B30" s="23"/>
      <c r="C30" s="23"/>
      <c r="D30" s="23"/>
      <c r="E30" s="23"/>
      <c r="F30" s="23"/>
    </row>
    <row r="64" customFormat="false" ht="11.9" hidden="false" customHeight="false" outlineLevel="0" collapsed="false">
      <c r="A64" s="31" t="s">
        <v>93</v>
      </c>
      <c r="B64" s="31"/>
      <c r="C64" s="31"/>
      <c r="D64" s="31"/>
      <c r="E64" s="31"/>
      <c r="F64" s="31"/>
    </row>
  </sheetData>
  <mergeCells count="9">
    <mergeCell ref="A1:F1"/>
    <mergeCell ref="A2:F2"/>
    <mergeCell ref="A5:F5"/>
    <mergeCell ref="A13:F13"/>
    <mergeCell ref="A16:F16"/>
    <mergeCell ref="A21:F21"/>
    <mergeCell ref="A24:F24"/>
    <mergeCell ref="A30:F30"/>
    <mergeCell ref="A64:F64"/>
  </mergeCells>
  <conditionalFormatting sqref="C7:E7">
    <cfRule type="expression" priority="2" aboveAverage="0" equalAverage="0" bottom="0" percent="0" rank="0" text="" dxfId="0">
      <formula>C7=MAX($C$7:$E$7)</formula>
    </cfRule>
  </conditionalFormatting>
  <conditionalFormatting sqref="C8:E8">
    <cfRule type="expression" priority="3" aboveAverage="0" equalAverage="0" bottom="0" percent="0" rank="0" text="" dxfId="0">
      <formula>C8=MAX($C$8:$E$8)</formula>
    </cfRule>
  </conditionalFormatting>
  <conditionalFormatting sqref="C9:E9">
    <cfRule type="expression" priority="4" aboveAverage="0" equalAverage="0" bottom="0" percent="0" rank="0" text="" dxfId="0">
      <formula>C9=MAX($C$9:$E$9)</formula>
    </cfRule>
  </conditionalFormatting>
  <conditionalFormatting sqref="C10:E10">
    <cfRule type="expression" priority="5" aboveAverage="0" equalAverage="0" bottom="0" percent="0" rank="0" text="" dxfId="0">
      <formula>C10=MIN($C$10:$E$10)</formula>
    </cfRule>
  </conditionalFormatting>
  <conditionalFormatting sqref="C11:E11">
    <cfRule type="expression" priority="6" aboveAverage="0" equalAverage="0" bottom="0" percent="0" rank="0" text="" dxfId="0">
      <formula>C11=MIN($C$11:$E$11)</formula>
    </cfRule>
  </conditionalFormatting>
  <conditionalFormatting sqref="C12:E12">
    <cfRule type="expression" priority="7" aboveAverage="0" equalAverage="0" bottom="0" percent="0" rank="0" text="" dxfId="0">
      <formula>C12=MAX($C$12:$E$12)</formula>
    </cfRule>
  </conditionalFormatting>
  <conditionalFormatting sqref="C14:E14">
    <cfRule type="expression" priority="8" aboveAverage="0" equalAverage="0" bottom="0" percent="0" rank="0" text="" dxfId="0">
      <formula>C14=MAX($C$14:$E$14)</formula>
    </cfRule>
  </conditionalFormatting>
  <conditionalFormatting sqref="C15:E15">
    <cfRule type="expression" priority="9" aboveAverage="0" equalAverage="0" bottom="0" percent="0" rank="0" text="" dxfId="0">
      <formula>C15=MIN($C$15:$E$15)</formula>
    </cfRule>
  </conditionalFormatting>
  <conditionalFormatting sqref="C17:E17">
    <cfRule type="expression" priority="10" aboveAverage="0" equalAverage="0" bottom="0" percent="0" rank="0" text="" dxfId="0">
      <formula>C17=MIN($C$17:$E$17)</formula>
    </cfRule>
  </conditionalFormatting>
  <conditionalFormatting sqref="C18:E18">
    <cfRule type="expression" priority="11" aboveAverage="0" equalAverage="0" bottom="0" percent="0" rank="0" text="" dxfId="0">
      <formula>C18=MIN($C$18:$E$18)</formula>
    </cfRule>
  </conditionalFormatting>
  <conditionalFormatting sqref="C19:E19">
    <cfRule type="expression" priority="12" aboveAverage="0" equalAverage="0" bottom="0" percent="0" rank="0" text="" dxfId="0">
      <formula>C19=MAX($C$19:$E$19)</formula>
    </cfRule>
  </conditionalFormatting>
  <conditionalFormatting sqref="C20:E20">
    <cfRule type="expression" priority="13" aboveAverage="0" equalAverage="0" bottom="0" percent="0" rank="0" text="" dxfId="0">
      <formula>C20=MIN($C$20:$E$20)</formula>
    </cfRule>
  </conditionalFormatting>
  <conditionalFormatting sqref="C22:E22">
    <cfRule type="expression" priority="14" aboveAverage="0" equalAverage="0" bottom="0" percent="0" rank="0" text="" dxfId="0">
      <formula>C22=MAX($C$22:$E$22)</formula>
    </cfRule>
  </conditionalFormatting>
  <conditionalFormatting sqref="C23:E23">
    <cfRule type="expression" priority="15" aboveAverage="0" equalAverage="0" bottom="0" percent="0" rank="0" text="" dxfId="0">
      <formula>C23=MAX($C$23:$E$23)</formula>
    </cfRule>
  </conditionalFormatting>
  <conditionalFormatting sqref="C26:E26">
    <cfRule type="expression" priority="16" aboveAverage="0" equalAverage="0" bottom="0" percent="0" rank="0" text="" dxfId="0">
      <formula>C26=MAX($C$26:$E$26)</formula>
    </cfRule>
  </conditionalFormatting>
  <hyperlinks>
    <hyperlink ref="A64" r:id="rId1" display="The Mountain Path Academy · Prof. V. Ravichandran ·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The Mountain Path Academy · themountainpathacademy.com ·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00FF"/>
    <pageSetUpPr fitToPage="true"/>
  </sheetPr>
  <dimension ref="A1:F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2"/>
    <col collapsed="false" customWidth="true" hidden="false" outlineLevel="0" max="5" min="3" style="0" width="15"/>
    <col collapsed="false" customWidth="true" hidden="false" outlineLevel="0" max="6" min="6" style="0" width="62"/>
  </cols>
  <sheetData>
    <row r="1" customFormat="false" ht="30" hidden="false" customHeight="true" outlineLevel="0" collapsed="false">
      <c r="A1" s="19" t="s">
        <v>94</v>
      </c>
      <c r="B1" s="19"/>
      <c r="C1" s="19"/>
      <c r="D1" s="19"/>
      <c r="E1" s="19"/>
      <c r="F1" s="19"/>
    </row>
    <row r="2" customFormat="false" ht="19.5" hidden="false" customHeight="true" outlineLevel="0" collapsed="false">
      <c r="A2" s="20" t="s">
        <v>95</v>
      </c>
      <c r="B2" s="20"/>
      <c r="C2" s="20"/>
      <c r="D2" s="20"/>
      <c r="E2" s="20"/>
      <c r="F2" s="20"/>
    </row>
    <row r="4" customFormat="false" ht="27.75" hidden="false" customHeight="true" outlineLevel="0" collapsed="false">
      <c r="A4" s="21" t="s">
        <v>96</v>
      </c>
      <c r="B4" s="22" t="s">
        <v>56</v>
      </c>
      <c r="C4" s="22" t="s">
        <v>57</v>
      </c>
      <c r="D4" s="22" t="s">
        <v>58</v>
      </c>
      <c r="E4" s="22" t="s">
        <v>59</v>
      </c>
      <c r="F4" s="22" t="s">
        <v>97</v>
      </c>
    </row>
    <row r="5" customFormat="false" ht="21.75" hidden="false" customHeight="true" outlineLevel="0" collapsed="false">
      <c r="A5" s="23" t="s">
        <v>98</v>
      </c>
      <c r="B5" s="23"/>
      <c r="C5" s="23"/>
      <c r="D5" s="23"/>
      <c r="E5" s="23"/>
      <c r="F5" s="23"/>
    </row>
    <row r="6" customFormat="false" ht="15" hidden="false" customHeight="false" outlineLevel="0" collapsed="false">
      <c r="A6" s="24" t="s">
        <v>99</v>
      </c>
      <c r="B6" s="25" t="s">
        <v>62</v>
      </c>
      <c r="C6" s="32" t="n">
        <v>34619</v>
      </c>
      <c r="D6" s="32" t="n">
        <v>25339</v>
      </c>
      <c r="E6" s="32" t="n">
        <v>15371</v>
      </c>
      <c r="F6" s="27" t="s">
        <v>100</v>
      </c>
    </row>
    <row r="7" customFormat="false" ht="15" hidden="false" customHeight="false" outlineLevel="0" collapsed="false">
      <c r="A7" s="24" t="s">
        <v>101</v>
      </c>
      <c r="B7" s="25" t="s">
        <v>62</v>
      </c>
      <c r="C7" s="32" t="n">
        <v>13830</v>
      </c>
      <c r="D7" s="32" t="n">
        <v>8047</v>
      </c>
      <c r="E7" s="32" t="n">
        <v>6531</v>
      </c>
      <c r="F7" s="27" t="s">
        <v>102</v>
      </c>
    </row>
    <row r="8" customFormat="false" ht="15" hidden="false" customHeight="false" outlineLevel="0" collapsed="false">
      <c r="A8" s="24" t="s">
        <v>103</v>
      </c>
      <c r="B8" s="25" t="s">
        <v>62</v>
      </c>
      <c r="C8" s="32" t="n">
        <v>780</v>
      </c>
      <c r="D8" s="32" t="n">
        <v>-230</v>
      </c>
      <c r="E8" s="33"/>
      <c r="F8" s="27" t="s">
        <v>104</v>
      </c>
    </row>
    <row r="9" customFormat="false" ht="15" hidden="false" customHeight="false" outlineLevel="0" collapsed="false">
      <c r="A9" s="24" t="s">
        <v>105</v>
      </c>
      <c r="B9" s="25" t="s">
        <v>62</v>
      </c>
      <c r="C9" s="32" t="n">
        <v>18970</v>
      </c>
      <c r="D9" s="32" t="n">
        <v>12811</v>
      </c>
      <c r="E9" s="33"/>
      <c r="F9" s="27" t="s">
        <v>106</v>
      </c>
    </row>
    <row r="10" customFormat="false" ht="15" hidden="false" customHeight="false" outlineLevel="0" collapsed="false">
      <c r="A10" s="24" t="s">
        <v>107</v>
      </c>
      <c r="B10" s="25" t="s">
        <v>62</v>
      </c>
      <c r="C10" s="33"/>
      <c r="D10" s="33"/>
      <c r="E10" s="32" t="n">
        <v>11083</v>
      </c>
      <c r="F10" s="27" t="s">
        <v>108</v>
      </c>
    </row>
    <row r="11" customFormat="false" ht="15" hidden="false" customHeight="false" outlineLevel="0" collapsed="false">
      <c r="A11" s="24" t="s">
        <v>109</v>
      </c>
      <c r="B11" s="25" t="s">
        <v>62</v>
      </c>
      <c r="C11" s="32" t="n">
        <v>3574</v>
      </c>
      <c r="D11" s="32" t="n">
        <v>851</v>
      </c>
      <c r="E11" s="32" t="n">
        <v>1694</v>
      </c>
      <c r="F11" s="27" t="s">
        <v>110</v>
      </c>
    </row>
    <row r="12" customFormat="false" ht="15" hidden="false" customHeight="false" outlineLevel="0" collapsed="false">
      <c r="A12" s="24" t="s">
        <v>111</v>
      </c>
      <c r="B12" s="25" t="s">
        <v>62</v>
      </c>
      <c r="C12" s="32" t="n">
        <v>19510</v>
      </c>
      <c r="D12" s="32" t="n">
        <v>14843</v>
      </c>
      <c r="E12" s="32" t="n">
        <v>7003</v>
      </c>
      <c r="F12" s="27" t="s">
        <v>112</v>
      </c>
    </row>
    <row r="13" customFormat="false" ht="15" hidden="false" customHeight="false" outlineLevel="0" collapsed="false">
      <c r="A13" s="24" t="s">
        <v>113</v>
      </c>
      <c r="B13" s="25" t="s">
        <v>62</v>
      </c>
      <c r="C13" s="32" t="n">
        <v>9690</v>
      </c>
      <c r="D13" s="32" t="n">
        <v>7795</v>
      </c>
      <c r="E13" s="32" t="n">
        <v>6381</v>
      </c>
      <c r="F13" s="27" t="s">
        <v>110</v>
      </c>
    </row>
    <row r="14" customFormat="false" ht="15" hidden="false" customHeight="false" outlineLevel="0" collapsed="false">
      <c r="A14" s="24" t="s">
        <v>114</v>
      </c>
      <c r="B14" s="25" t="s">
        <v>65</v>
      </c>
      <c r="C14" s="34" t="n">
        <v>0.047</v>
      </c>
      <c r="D14" s="34" t="n">
        <v>0.201</v>
      </c>
      <c r="E14" s="34" t="n">
        <v>0.376</v>
      </c>
      <c r="F14" s="27" t="s">
        <v>115</v>
      </c>
    </row>
    <row r="15" customFormat="false" ht="15" hidden="false" customHeight="false" outlineLevel="0" collapsed="false">
      <c r="A15" s="24" t="s">
        <v>116</v>
      </c>
      <c r="B15" s="25" t="s">
        <v>65</v>
      </c>
      <c r="C15" s="34" t="n">
        <v>0.097</v>
      </c>
      <c r="D15" s="34" t="n">
        <v>0.177</v>
      </c>
      <c r="E15" s="34" t="n">
        <v>0.118</v>
      </c>
      <c r="F15" s="27" t="s">
        <v>115</v>
      </c>
    </row>
    <row r="16" customFormat="false" ht="21.75" hidden="false" customHeight="true" outlineLevel="0" collapsed="false">
      <c r="A16" s="23" t="s">
        <v>117</v>
      </c>
      <c r="B16" s="23"/>
      <c r="C16" s="23"/>
      <c r="D16" s="23"/>
      <c r="E16" s="23"/>
      <c r="F16" s="23"/>
    </row>
    <row r="17" customFormat="false" ht="22.35" hidden="false" customHeight="false" outlineLevel="0" collapsed="false">
      <c r="A17" s="24" t="s">
        <v>118</v>
      </c>
      <c r="B17" s="25" t="s">
        <v>62</v>
      </c>
      <c r="C17" s="32" t="n">
        <v>45900</v>
      </c>
      <c r="D17" s="32" t="n">
        <v>28885</v>
      </c>
      <c r="E17" s="32" t="n">
        <v>20370</v>
      </c>
      <c r="F17" s="27" t="s">
        <v>119</v>
      </c>
    </row>
    <row r="18" customFormat="false" ht="15" hidden="false" customHeight="false" outlineLevel="0" collapsed="false">
      <c r="A18" s="24" t="s">
        <v>120</v>
      </c>
      <c r="B18" s="25" t="s">
        <v>121</v>
      </c>
      <c r="C18" s="12" t="s">
        <v>122</v>
      </c>
      <c r="D18" s="12" t="s">
        <v>123</v>
      </c>
      <c r="E18" s="12" t="s">
        <v>122</v>
      </c>
      <c r="F18" s="27" t="s">
        <v>124</v>
      </c>
    </row>
    <row r="19" customFormat="false" ht="15" hidden="false" customHeight="false" outlineLevel="0" collapsed="false">
      <c r="A19" s="24" t="s">
        <v>125</v>
      </c>
      <c r="B19" s="25" t="s">
        <v>65</v>
      </c>
      <c r="C19" s="35"/>
      <c r="D19" s="34" t="n">
        <v>0.085</v>
      </c>
      <c r="E19" s="35"/>
      <c r="F19" s="27" t="s">
        <v>126</v>
      </c>
    </row>
    <row r="20" customFormat="false" ht="15" hidden="false" customHeight="false" outlineLevel="0" collapsed="false">
      <c r="A20" s="24" t="s">
        <v>127</v>
      </c>
      <c r="B20" s="25" t="s">
        <v>62</v>
      </c>
      <c r="C20" s="32" t="n">
        <v>17980</v>
      </c>
      <c r="D20" s="33" t="n">
        <f aca="false">D9/(1+D19)</f>
        <v>11807.3732718894</v>
      </c>
      <c r="E20" s="32" t="n">
        <v>9957</v>
      </c>
      <c r="F20" s="27" t="s">
        <v>128</v>
      </c>
    </row>
    <row r="21" customFormat="false" ht="21.75" hidden="false" customHeight="true" outlineLevel="0" collapsed="false">
      <c r="A21" s="23" t="s">
        <v>129</v>
      </c>
      <c r="B21" s="23"/>
      <c r="C21" s="23"/>
      <c r="D21" s="23"/>
      <c r="E21" s="23"/>
      <c r="F21" s="23"/>
    </row>
    <row r="22" customFormat="false" ht="15" hidden="false" customHeight="false" outlineLevel="0" collapsed="false">
      <c r="A22" s="24" t="s">
        <v>130</v>
      </c>
      <c r="B22" s="25" t="s">
        <v>65</v>
      </c>
      <c r="C22" s="36" t="n">
        <v>0.0332</v>
      </c>
      <c r="D22" s="36" t="n">
        <v>0.0418</v>
      </c>
      <c r="E22" s="36" t="n">
        <v>0.0336</v>
      </c>
      <c r="F22" s="27" t="s">
        <v>131</v>
      </c>
    </row>
    <row r="23" customFormat="false" ht="15" hidden="false" customHeight="false" outlineLevel="0" collapsed="false">
      <c r="A23" s="24" t="s">
        <v>132</v>
      </c>
      <c r="B23" s="25" t="s">
        <v>65</v>
      </c>
      <c r="C23" s="36" t="n">
        <v>0.0316</v>
      </c>
      <c r="D23" s="37"/>
      <c r="E23" s="37"/>
      <c r="F23" s="27" t="s">
        <v>133</v>
      </c>
    </row>
    <row r="24" customFormat="false" ht="21.75" hidden="false" customHeight="true" outlineLevel="0" collapsed="false">
      <c r="A24" s="23" t="s">
        <v>134</v>
      </c>
      <c r="B24" s="23"/>
      <c r="C24" s="23"/>
      <c r="D24" s="23"/>
      <c r="E24" s="23"/>
      <c r="F24" s="23"/>
    </row>
    <row r="25" customFormat="false" ht="15" hidden="false" customHeight="false" outlineLevel="0" collapsed="false">
      <c r="A25" s="24" t="s">
        <v>135</v>
      </c>
      <c r="B25" s="25" t="s">
        <v>62</v>
      </c>
      <c r="C25" s="32" t="n">
        <v>3219500</v>
      </c>
      <c r="D25" s="32" t="n">
        <v>1832000</v>
      </c>
      <c r="E25" s="32" t="n">
        <v>1373727</v>
      </c>
      <c r="F25" s="27" t="s">
        <v>136</v>
      </c>
    </row>
    <row r="26" customFormat="false" ht="15" hidden="false" customHeight="false" outlineLevel="0" collapsed="false">
      <c r="A26" s="24" t="s">
        <v>137</v>
      </c>
      <c r="B26" s="25" t="s">
        <v>62</v>
      </c>
      <c r="C26" s="32" t="n">
        <v>3327400</v>
      </c>
      <c r="D26" s="32" t="n">
        <v>2050000</v>
      </c>
      <c r="E26" s="32" t="n">
        <v>1452066</v>
      </c>
      <c r="F26" s="27" t="s">
        <v>138</v>
      </c>
    </row>
    <row r="27" customFormat="false" ht="15" hidden="false" customHeight="false" outlineLevel="0" collapsed="false">
      <c r="A27" s="24" t="s">
        <v>73</v>
      </c>
      <c r="B27" s="25" t="s">
        <v>65</v>
      </c>
      <c r="C27" s="34" t="n">
        <v>0.316</v>
      </c>
      <c r="D27" s="34" t="n">
        <v>0.358</v>
      </c>
      <c r="E27" s="34" t="n">
        <v>0.36</v>
      </c>
      <c r="F27" s="27" t="s">
        <v>139</v>
      </c>
    </row>
    <row r="28" customFormat="false" ht="15" hidden="false" customHeight="false" outlineLevel="0" collapsed="false">
      <c r="A28" s="24" t="s">
        <v>140</v>
      </c>
      <c r="B28" s="25" t="s">
        <v>65</v>
      </c>
      <c r="C28" s="34" t="n">
        <v>0.052</v>
      </c>
      <c r="D28" s="34" t="n">
        <v>0.123</v>
      </c>
      <c r="E28" s="34" t="n">
        <v>0.09</v>
      </c>
      <c r="F28" s="27" t="s">
        <v>115</v>
      </c>
    </row>
    <row r="29" customFormat="false" ht="21.75" hidden="false" customHeight="true" outlineLevel="0" collapsed="false">
      <c r="A29" s="23" t="s">
        <v>76</v>
      </c>
      <c r="B29" s="23"/>
      <c r="C29" s="23"/>
      <c r="D29" s="23"/>
      <c r="E29" s="23"/>
      <c r="F29" s="23"/>
    </row>
    <row r="30" customFormat="false" ht="15" hidden="false" customHeight="false" outlineLevel="0" collapsed="false">
      <c r="A30" s="24" t="s">
        <v>141</v>
      </c>
      <c r="B30" s="25" t="s">
        <v>65</v>
      </c>
      <c r="C30" s="36" t="n">
        <v>0.0117</v>
      </c>
      <c r="D30" s="36" t="n">
        <v>0.0138</v>
      </c>
      <c r="E30" s="36" t="n">
        <v>0.0128</v>
      </c>
      <c r="F30" s="27" t="s">
        <v>142</v>
      </c>
    </row>
    <row r="31" customFormat="false" ht="15" hidden="false" customHeight="false" outlineLevel="0" collapsed="false">
      <c r="A31" s="24" t="s">
        <v>143</v>
      </c>
      <c r="B31" s="25" t="s">
        <v>65</v>
      </c>
      <c r="C31" s="36" t="n">
        <v>0.0111</v>
      </c>
      <c r="D31" s="36" t="n">
        <v>0.012</v>
      </c>
      <c r="E31" s="36" t="n">
        <v>0.0116</v>
      </c>
      <c r="F31" s="27" t="s">
        <v>115</v>
      </c>
    </row>
    <row r="32" customFormat="false" ht="15" hidden="false" customHeight="false" outlineLevel="0" collapsed="false">
      <c r="A32" s="24" t="s">
        <v>144</v>
      </c>
      <c r="B32" s="25" t="s">
        <v>65</v>
      </c>
      <c r="C32" s="36" t="n">
        <v>0.0037</v>
      </c>
      <c r="D32" s="36" t="n">
        <v>0.003</v>
      </c>
      <c r="E32" s="36" t="n">
        <v>0.0035</v>
      </c>
      <c r="F32" s="27" t="s">
        <v>115</v>
      </c>
    </row>
    <row r="33" customFormat="false" ht="15" hidden="false" customHeight="false" outlineLevel="0" collapsed="false">
      <c r="A33" s="24" t="s">
        <v>145</v>
      </c>
      <c r="B33" s="25" t="s">
        <v>65</v>
      </c>
      <c r="C33" s="35"/>
      <c r="D33" s="34" t="n">
        <v>0.75</v>
      </c>
      <c r="E33" s="34" t="n">
        <v>0.7</v>
      </c>
      <c r="F33" s="27" t="s">
        <v>146</v>
      </c>
    </row>
    <row r="34" customFormat="false" ht="15" hidden="false" customHeight="false" outlineLevel="0" collapsed="false">
      <c r="A34" s="24" t="s">
        <v>147</v>
      </c>
      <c r="B34" s="25" t="s">
        <v>62</v>
      </c>
      <c r="C34" s="33"/>
      <c r="D34" s="32" t="n">
        <v>4833</v>
      </c>
      <c r="E34" s="32" t="n">
        <v>4762</v>
      </c>
      <c r="F34" s="27" t="s">
        <v>115</v>
      </c>
    </row>
    <row r="35" customFormat="false" ht="15" hidden="false" customHeight="false" outlineLevel="0" collapsed="false">
      <c r="A35" s="24" t="s">
        <v>148</v>
      </c>
      <c r="B35" s="25" t="s">
        <v>62</v>
      </c>
      <c r="C35" s="33"/>
      <c r="D35" s="32" t="n">
        <v>3620</v>
      </c>
      <c r="E35" s="33"/>
      <c r="F35" s="27" t="s">
        <v>58</v>
      </c>
    </row>
    <row r="36" customFormat="false" ht="15" hidden="false" customHeight="false" outlineLevel="0" collapsed="false">
      <c r="A36" s="24" t="s">
        <v>149</v>
      </c>
      <c r="B36" s="25" t="s">
        <v>62</v>
      </c>
      <c r="C36" s="33"/>
      <c r="D36" s="32" t="n">
        <v>1592</v>
      </c>
      <c r="E36" s="33"/>
      <c r="F36" s="27" t="s">
        <v>58</v>
      </c>
    </row>
    <row r="37" customFormat="false" ht="15" hidden="false" customHeight="false" outlineLevel="0" collapsed="false">
      <c r="A37" s="24" t="s">
        <v>150</v>
      </c>
      <c r="B37" s="25" t="s">
        <v>65</v>
      </c>
      <c r="C37" s="36" t="n">
        <v>0.0044</v>
      </c>
      <c r="D37" s="37"/>
      <c r="E37" s="37"/>
      <c r="F37" s="27" t="s">
        <v>151</v>
      </c>
    </row>
    <row r="38" customFormat="false" ht="21.75" hidden="false" customHeight="true" outlineLevel="0" collapsed="false">
      <c r="A38" s="23" t="s">
        <v>35</v>
      </c>
      <c r="B38" s="23"/>
      <c r="C38" s="23"/>
      <c r="D38" s="23"/>
      <c r="E38" s="23"/>
      <c r="F38" s="23"/>
    </row>
    <row r="39" customFormat="false" ht="15" hidden="false" customHeight="false" outlineLevel="0" collapsed="false">
      <c r="A39" s="24" t="s">
        <v>152</v>
      </c>
      <c r="B39" s="25" t="s">
        <v>65</v>
      </c>
      <c r="C39" s="36" t="n">
        <v>0.189</v>
      </c>
      <c r="D39" s="36" t="n">
        <v>0.1668</v>
      </c>
      <c r="E39" s="36" t="n">
        <v>0.1627</v>
      </c>
      <c r="F39" s="27" t="s">
        <v>115</v>
      </c>
    </row>
    <row r="40" customFormat="false" ht="15" hidden="false" customHeight="false" outlineLevel="0" collapsed="false">
      <c r="A40" s="24" t="s">
        <v>82</v>
      </c>
      <c r="B40" s="25" t="s">
        <v>65</v>
      </c>
      <c r="C40" s="36" t="n">
        <v>0.171</v>
      </c>
      <c r="D40" s="36" t="n">
        <v>0.1601</v>
      </c>
      <c r="E40" s="36" t="n">
        <v>0.1461</v>
      </c>
      <c r="F40" s="27" t="s">
        <v>115</v>
      </c>
    </row>
    <row r="41" customFormat="false" ht="15" hidden="false" customHeight="false" outlineLevel="0" collapsed="false">
      <c r="A41" s="24" t="s">
        <v>153</v>
      </c>
      <c r="B41" s="25" t="s">
        <v>65</v>
      </c>
      <c r="C41" s="36" t="n">
        <v>0.119</v>
      </c>
      <c r="D41" s="36" t="n">
        <v>0.117</v>
      </c>
      <c r="E41" s="36" t="n">
        <v>0.115</v>
      </c>
      <c r="F41" s="27" t="s">
        <v>154</v>
      </c>
    </row>
    <row r="42" customFormat="false" ht="21.75" hidden="false" customHeight="true" outlineLevel="0" collapsed="false">
      <c r="A42" s="23" t="s">
        <v>155</v>
      </c>
      <c r="B42" s="23"/>
      <c r="C42" s="23"/>
      <c r="D42" s="23"/>
      <c r="E42" s="23"/>
      <c r="F42" s="23"/>
    </row>
    <row r="43" customFormat="false" ht="15" hidden="false" customHeight="false" outlineLevel="0" collapsed="false">
      <c r="A43" s="24" t="s">
        <v>156</v>
      </c>
      <c r="B43" s="25" t="s">
        <v>157</v>
      </c>
      <c r="C43" s="38" t="n">
        <v>728.85</v>
      </c>
      <c r="D43" s="38" t="n">
        <v>1397</v>
      </c>
      <c r="E43" s="38" t="n">
        <v>1290</v>
      </c>
      <c r="F43" s="27" t="s">
        <v>158</v>
      </c>
    </row>
    <row r="44" customFormat="false" ht="15" hidden="false" customHeight="false" outlineLevel="0" collapsed="false">
      <c r="A44" s="24" t="s">
        <v>159</v>
      </c>
      <c r="B44" s="25" t="s">
        <v>157</v>
      </c>
      <c r="C44" s="38" t="n">
        <v>391</v>
      </c>
      <c r="D44" s="38" t="n">
        <v>540</v>
      </c>
      <c r="E44" s="38" t="n">
        <v>738</v>
      </c>
      <c r="F44" s="27" t="s">
        <v>160</v>
      </c>
    </row>
    <row r="45" customFormat="false" ht="15" hidden="false" customHeight="false" outlineLevel="0" collapsed="false">
      <c r="A45" s="24" t="s">
        <v>161</v>
      </c>
      <c r="B45" s="25" t="s">
        <v>65</v>
      </c>
      <c r="C45" s="34" t="n">
        <v>0.136</v>
      </c>
      <c r="D45" s="34" t="n">
        <v>0.159</v>
      </c>
      <c r="E45" s="34" t="n">
        <v>0.131</v>
      </c>
      <c r="F45" s="27" t="s">
        <v>160</v>
      </c>
    </row>
    <row r="46" customFormat="false" ht="15" hidden="false" customHeight="false" outlineLevel="0" collapsed="false">
      <c r="A46" s="24" t="s">
        <v>162</v>
      </c>
      <c r="B46" s="25" t="s">
        <v>62</v>
      </c>
      <c r="C46" s="32" t="n">
        <v>1123784</v>
      </c>
      <c r="D46" s="32" t="n">
        <v>1003031</v>
      </c>
      <c r="E46" s="32" t="n">
        <v>401689</v>
      </c>
      <c r="F46" s="27" t="s">
        <v>158</v>
      </c>
    </row>
    <row r="47" customFormat="false" ht="21.75" hidden="false" customHeight="true" outlineLevel="0" collapsed="false">
      <c r="A47" s="23" t="s">
        <v>163</v>
      </c>
      <c r="B47" s="23"/>
      <c r="C47" s="23"/>
      <c r="D47" s="23"/>
      <c r="E47" s="23"/>
      <c r="F47" s="23"/>
    </row>
    <row r="48" customFormat="false" ht="15" hidden="false" customHeight="false" outlineLevel="0" collapsed="false">
      <c r="A48" s="24" t="s">
        <v>164</v>
      </c>
      <c r="B48" s="27" t="s">
        <v>65</v>
      </c>
      <c r="C48" s="39" t="n">
        <v>0.12</v>
      </c>
      <c r="F48" s="27" t="s">
        <v>165</v>
      </c>
    </row>
    <row r="49" customFormat="false" ht="15" hidden="false" customHeight="false" outlineLevel="0" collapsed="false">
      <c r="A49" s="24" t="s">
        <v>166</v>
      </c>
      <c r="B49" s="27" t="s">
        <v>65</v>
      </c>
      <c r="C49" s="39" t="n">
        <v>0.08</v>
      </c>
      <c r="F49" s="27" t="s">
        <v>165</v>
      </c>
    </row>
    <row r="50" customFormat="false" ht="15" hidden="false" customHeight="false" outlineLevel="0" collapsed="false">
      <c r="A50" s="24" t="s">
        <v>167</v>
      </c>
      <c r="B50" s="27" t="s">
        <v>65</v>
      </c>
      <c r="C50" s="39" t="n">
        <v>0.13</v>
      </c>
      <c r="F50" s="27" t="s">
        <v>168</v>
      </c>
    </row>
    <row r="51" customFormat="false" ht="15" hidden="false" customHeight="false" outlineLevel="0" collapsed="false">
      <c r="A51" s="24" t="s">
        <v>169</v>
      </c>
      <c r="B51" s="27" t="s">
        <v>65</v>
      </c>
      <c r="C51" s="39" t="n">
        <v>0.99</v>
      </c>
      <c r="F51" s="27" t="s">
        <v>170</v>
      </c>
    </row>
    <row r="53" customFormat="false" ht="11.9" hidden="false" customHeight="false" outlineLevel="0" collapsed="false">
      <c r="A53" s="31" t="s">
        <v>93</v>
      </c>
      <c r="B53" s="31"/>
      <c r="C53" s="31"/>
      <c r="D53" s="31"/>
      <c r="E53" s="31"/>
      <c r="F53" s="31"/>
    </row>
  </sheetData>
  <mergeCells count="11">
    <mergeCell ref="A1:F1"/>
    <mergeCell ref="A2:F2"/>
    <mergeCell ref="A5:F5"/>
    <mergeCell ref="A16:F16"/>
    <mergeCell ref="A21:F21"/>
    <mergeCell ref="A24:F24"/>
    <mergeCell ref="A29:F29"/>
    <mergeCell ref="A38:F38"/>
    <mergeCell ref="A42:F42"/>
    <mergeCell ref="A47:F47"/>
    <mergeCell ref="A53:F53"/>
  </mergeCells>
  <hyperlinks>
    <hyperlink ref="A53" r:id="rId1" display="The Mountain Path Academy · Prof. V. Ravichandran ·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The Mountain Path Academy · themountainpathacademy.com ·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4D80"/>
    <pageSetUpPr fitToPage="true"/>
  </sheetPr>
  <dimension ref="A1:F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1"/>
    <col collapsed="false" customWidth="true" hidden="false" outlineLevel="0" max="5" min="3" style="0" width="15"/>
    <col collapsed="false" customWidth="true" hidden="false" outlineLevel="0" max="6" min="6" style="0" width="58"/>
  </cols>
  <sheetData>
    <row r="1" customFormat="false" ht="30" hidden="false" customHeight="true" outlineLevel="0" collapsed="false">
      <c r="A1" s="19" t="s">
        <v>171</v>
      </c>
      <c r="B1" s="19"/>
      <c r="C1" s="19"/>
      <c r="D1" s="19"/>
      <c r="E1" s="19"/>
      <c r="F1" s="19"/>
    </row>
    <row r="2" customFormat="false" ht="19.5" hidden="false" customHeight="true" outlineLevel="0" collapsed="false">
      <c r="A2" s="20" t="s">
        <v>172</v>
      </c>
      <c r="B2" s="20"/>
      <c r="C2" s="20"/>
      <c r="D2" s="20"/>
      <c r="E2" s="20"/>
      <c r="F2" s="20"/>
    </row>
    <row r="4" customFormat="false" ht="27.75" hidden="false" customHeight="true" outlineLevel="0" collapsed="false">
      <c r="A4" s="21" t="s">
        <v>55</v>
      </c>
      <c r="B4" s="22" t="s">
        <v>56</v>
      </c>
      <c r="C4" s="22" t="s">
        <v>57</v>
      </c>
      <c r="D4" s="22" t="s">
        <v>58</v>
      </c>
      <c r="E4" s="22" t="s">
        <v>59</v>
      </c>
      <c r="F4" s="22" t="s">
        <v>173</v>
      </c>
    </row>
    <row r="5" customFormat="false" ht="21.75" hidden="false" customHeight="true" outlineLevel="0" collapsed="false">
      <c r="A5" s="23" t="s">
        <v>174</v>
      </c>
      <c r="B5" s="23"/>
      <c r="C5" s="23"/>
      <c r="D5" s="23"/>
      <c r="E5" s="23"/>
      <c r="F5" s="23"/>
    </row>
    <row r="6" customFormat="false" ht="15" hidden="false" customHeight="false" outlineLevel="0" collapsed="false">
      <c r="A6" s="24" t="s">
        <v>99</v>
      </c>
      <c r="B6" s="25" t="s">
        <v>62</v>
      </c>
      <c r="C6" s="26" t="n">
        <f aca="false">Inputs!C6</f>
        <v>34619</v>
      </c>
      <c r="D6" s="26" t="n">
        <f aca="false">Inputs!D6</f>
        <v>25339</v>
      </c>
      <c r="E6" s="26" t="n">
        <f aca="false">Inputs!E6</f>
        <v>15371</v>
      </c>
      <c r="F6" s="27" t="s">
        <v>175</v>
      </c>
    </row>
    <row r="7" customFormat="false" ht="15" hidden="false" customHeight="false" outlineLevel="0" collapsed="false">
      <c r="A7" s="24" t="s">
        <v>176</v>
      </c>
      <c r="B7" s="25" t="s">
        <v>62</v>
      </c>
      <c r="C7" s="26" t="n">
        <f aca="false">Inputs!C7</f>
        <v>13830</v>
      </c>
      <c r="D7" s="26" t="n">
        <f aca="false">Inputs!D7</f>
        <v>8047</v>
      </c>
      <c r="E7" s="26" t="n">
        <f aca="false">Inputs!E7</f>
        <v>6531</v>
      </c>
      <c r="F7" s="27" t="s">
        <v>175</v>
      </c>
    </row>
    <row r="8" customFormat="false" ht="15" hidden="false" customHeight="false" outlineLevel="0" collapsed="false">
      <c r="A8" s="40" t="s">
        <v>177</v>
      </c>
      <c r="B8" s="25" t="s">
        <v>62</v>
      </c>
      <c r="C8" s="41" t="n">
        <f aca="false">C6+C7</f>
        <v>48449</v>
      </c>
      <c r="D8" s="41" t="n">
        <f aca="false">D6+D7</f>
        <v>33386</v>
      </c>
      <c r="E8" s="41" t="n">
        <f aca="false">E6+E7</f>
        <v>21902</v>
      </c>
      <c r="F8" s="27" t="s">
        <v>178</v>
      </c>
    </row>
    <row r="9" customFormat="false" ht="15" hidden="false" customHeight="false" outlineLevel="0" collapsed="false">
      <c r="A9" s="24" t="s">
        <v>179</v>
      </c>
      <c r="B9" s="25" t="s">
        <v>62</v>
      </c>
      <c r="C9" s="33" t="n">
        <f aca="false">IF(Inputs!C9="",C8-Inputs!C10,Inputs!C9)</f>
        <v>18970</v>
      </c>
      <c r="D9" s="33" t="n">
        <f aca="false">IF(Inputs!D9="",D8-Inputs!D10,Inputs!D9)</f>
        <v>12811</v>
      </c>
      <c r="E9" s="33" t="n">
        <f aca="false">IF(Inputs!E9="",E8-Inputs!E10,Inputs!E9)</f>
        <v>10819</v>
      </c>
      <c r="F9" s="27" t="s">
        <v>180</v>
      </c>
    </row>
    <row r="10" customFormat="false" ht="15" hidden="false" customHeight="false" outlineLevel="0" collapsed="false">
      <c r="A10" s="40" t="s">
        <v>181</v>
      </c>
      <c r="B10" s="25" t="s">
        <v>62</v>
      </c>
      <c r="C10" s="41" t="n">
        <f aca="false">C8-C9</f>
        <v>29479</v>
      </c>
      <c r="D10" s="41" t="n">
        <f aca="false">D8-D9</f>
        <v>20575</v>
      </c>
      <c r="E10" s="41" t="n">
        <f aca="false">E8-E9</f>
        <v>11083</v>
      </c>
      <c r="F10" s="27" t="s">
        <v>182</v>
      </c>
    </row>
    <row r="11" customFormat="false" ht="15" hidden="false" customHeight="false" outlineLevel="0" collapsed="false">
      <c r="A11" s="24" t="s">
        <v>183</v>
      </c>
      <c r="B11" s="25" t="s">
        <v>62</v>
      </c>
      <c r="C11" s="26" t="n">
        <f aca="false">Inputs!C11</f>
        <v>3574</v>
      </c>
      <c r="D11" s="26" t="n">
        <f aca="false">Inputs!D11</f>
        <v>851</v>
      </c>
      <c r="E11" s="26" t="n">
        <f aca="false">Inputs!E11</f>
        <v>1694</v>
      </c>
      <c r="F11" s="27" t="s">
        <v>175</v>
      </c>
    </row>
    <row r="12" customFormat="false" ht="15" hidden="false" customHeight="false" outlineLevel="0" collapsed="false">
      <c r="A12" s="40" t="s">
        <v>184</v>
      </c>
      <c r="B12" s="25" t="s">
        <v>62</v>
      </c>
      <c r="C12" s="41" t="n">
        <f aca="false">C10-C11</f>
        <v>25905</v>
      </c>
      <c r="D12" s="41" t="n">
        <f aca="false">D10-D11</f>
        <v>19724</v>
      </c>
      <c r="E12" s="41" t="n">
        <f aca="false">E10-E11</f>
        <v>9389</v>
      </c>
      <c r="F12" s="27" t="s">
        <v>185</v>
      </c>
    </row>
    <row r="13" customFormat="false" ht="15" hidden="false" customHeight="false" outlineLevel="0" collapsed="false">
      <c r="A13" s="24" t="s">
        <v>111</v>
      </c>
      <c r="B13" s="25" t="s">
        <v>62</v>
      </c>
      <c r="C13" s="26" t="n">
        <f aca="false">Inputs!C12</f>
        <v>19510</v>
      </c>
      <c r="D13" s="26" t="n">
        <f aca="false">Inputs!D12</f>
        <v>14843</v>
      </c>
      <c r="E13" s="26" t="n">
        <f aca="false">Inputs!E12</f>
        <v>7003</v>
      </c>
      <c r="F13" s="27" t="s">
        <v>186</v>
      </c>
    </row>
    <row r="14" customFormat="false" ht="15" hidden="false" customHeight="false" outlineLevel="0" collapsed="false">
      <c r="A14" s="24" t="s">
        <v>187</v>
      </c>
      <c r="B14" s="25" t="s">
        <v>62</v>
      </c>
      <c r="C14" s="33" t="n">
        <f aca="false">C12-C13</f>
        <v>6395</v>
      </c>
      <c r="D14" s="33" t="n">
        <f aca="false">D12-D13</f>
        <v>4881</v>
      </c>
      <c r="E14" s="33" t="n">
        <f aca="false">E12-E13</f>
        <v>2386</v>
      </c>
      <c r="F14" s="27" t="s">
        <v>188</v>
      </c>
    </row>
    <row r="15" customFormat="false" ht="15" hidden="false" customHeight="false" outlineLevel="0" collapsed="false">
      <c r="A15" s="24" t="s">
        <v>189</v>
      </c>
      <c r="B15" s="25" t="s">
        <v>65</v>
      </c>
      <c r="C15" s="35" t="n">
        <f aca="false">IF(C12=0,"n/a",C14/C12)</f>
        <v>0.24686353985717</v>
      </c>
      <c r="D15" s="35" t="n">
        <f aca="false">IF(D12=0,"n/a",D14/D12)</f>
        <v>0.247465017237883</v>
      </c>
      <c r="E15" s="35" t="n">
        <f aca="false">IF(E12=0,"n/a",E14/E12)</f>
        <v>0.254127170092662</v>
      </c>
      <c r="F15" s="27" t="s">
        <v>190</v>
      </c>
    </row>
    <row r="16" customFormat="false" ht="21.75" hidden="false" customHeight="true" outlineLevel="0" collapsed="false">
      <c r="A16" s="23" t="s">
        <v>191</v>
      </c>
      <c r="B16" s="23"/>
      <c r="C16" s="23"/>
      <c r="D16" s="23"/>
      <c r="E16" s="23"/>
      <c r="F16" s="23"/>
    </row>
    <row r="17" customFormat="false" ht="15" hidden="false" customHeight="false" outlineLevel="0" collapsed="false">
      <c r="A17" s="40" t="s">
        <v>69</v>
      </c>
      <c r="B17" s="25" t="s">
        <v>65</v>
      </c>
      <c r="C17" s="42" t="n">
        <f aca="false">C9/C8</f>
        <v>0.391545749138269</v>
      </c>
      <c r="D17" s="42" t="n">
        <f aca="false">D9/D8</f>
        <v>0.383723716527886</v>
      </c>
      <c r="E17" s="42" t="n">
        <f aca="false">E9/E8</f>
        <v>0.4939731531367</v>
      </c>
      <c r="F17" s="27" t="s">
        <v>192</v>
      </c>
    </row>
    <row r="18" customFormat="false" ht="15" hidden="false" customHeight="false" outlineLevel="0" collapsed="false">
      <c r="A18" s="24" t="s">
        <v>193</v>
      </c>
      <c r="B18" s="25" t="s">
        <v>62</v>
      </c>
      <c r="C18" s="33" t="n">
        <f aca="false">IF(Inputs!C8="","n/a",C10-Inputs!C8)</f>
        <v>28699</v>
      </c>
      <c r="D18" s="33" t="n">
        <f aca="false">IF(Inputs!D8="","n/a",D10-Inputs!D8)</f>
        <v>20805</v>
      </c>
      <c r="E18" s="33" t="str">
        <f aca="false">IF(Inputs!E8="","n/a",E10-Inputs!E8)</f>
        <v>n/a</v>
      </c>
      <c r="F18" s="27" t="s">
        <v>194</v>
      </c>
    </row>
    <row r="19" customFormat="false" ht="15" hidden="false" customHeight="false" outlineLevel="0" collapsed="false">
      <c r="A19" s="24" t="s">
        <v>71</v>
      </c>
      <c r="B19" s="25" t="s">
        <v>65</v>
      </c>
      <c r="C19" s="35" t="n">
        <f aca="false">C11/C10</f>
        <v>0.121238847993487</v>
      </c>
      <c r="D19" s="35" t="n">
        <f aca="false">D11/D10</f>
        <v>0.0413608748481166</v>
      </c>
      <c r="E19" s="35" t="n">
        <f aca="false">E11/E10</f>
        <v>0.152846702156456</v>
      </c>
      <c r="F19" s="27" t="s">
        <v>195</v>
      </c>
    </row>
    <row r="20" customFormat="false" ht="21.75" hidden="false" customHeight="true" outlineLevel="0" collapsed="false">
      <c r="A20" s="23" t="s">
        <v>196</v>
      </c>
      <c r="B20" s="23"/>
      <c r="C20" s="23"/>
      <c r="D20" s="23"/>
      <c r="E20" s="23"/>
      <c r="F20" s="23"/>
    </row>
    <row r="21" customFormat="false" ht="15" hidden="false" customHeight="false" outlineLevel="0" collapsed="false">
      <c r="A21" s="24" t="s">
        <v>197</v>
      </c>
      <c r="B21" s="25" t="s">
        <v>62</v>
      </c>
      <c r="C21" s="33" t="n">
        <f aca="false">IF(Inputs!C18="Core",C8-Inputs!C8,C8)</f>
        <v>48449</v>
      </c>
      <c r="D21" s="33" t="n">
        <f aca="false">IF(Inputs!D18="Core",D8-Inputs!D8,D8)</f>
        <v>33616</v>
      </c>
      <c r="E21" s="33" t="n">
        <f aca="false">IF(Inputs!E18="Core",E8-Inputs!E8,E8)</f>
        <v>21902</v>
      </c>
      <c r="F21" s="27" t="s">
        <v>198</v>
      </c>
    </row>
    <row r="22" customFormat="false" ht="15" hidden="false" customHeight="false" outlineLevel="0" collapsed="false">
      <c r="A22" s="24" t="s">
        <v>199</v>
      </c>
      <c r="B22" s="25" t="s">
        <v>65</v>
      </c>
      <c r="C22" s="35" t="n">
        <f aca="false">C21/Inputs!C17-1</f>
        <v>0.0555337690631808</v>
      </c>
      <c r="D22" s="35" t="n">
        <f aca="false">D21/Inputs!D17-1</f>
        <v>0.163787432923663</v>
      </c>
      <c r="E22" s="35" t="n">
        <f aca="false">E21/Inputs!E17-1</f>
        <v>0.0752086401570937</v>
      </c>
      <c r="F22" s="27" t="s">
        <v>200</v>
      </c>
    </row>
    <row r="23" customFormat="false" ht="15" hidden="false" customHeight="false" outlineLevel="0" collapsed="false">
      <c r="A23" s="24" t="s">
        <v>201</v>
      </c>
      <c r="B23" s="25" t="s">
        <v>65</v>
      </c>
      <c r="C23" s="35" t="n">
        <f aca="false">C9/Inputs!C20-1</f>
        <v>0.0550611790878754</v>
      </c>
      <c r="D23" s="35" t="n">
        <f aca="false">D9/Inputs!D20-1</f>
        <v>0.085</v>
      </c>
      <c r="E23" s="35" t="n">
        <f aca="false">E9/Inputs!E20-1</f>
        <v>0.0865722607211008</v>
      </c>
      <c r="F23" s="27" t="s">
        <v>200</v>
      </c>
    </row>
    <row r="24" customFormat="false" ht="15" hidden="false" customHeight="false" outlineLevel="0" collapsed="false">
      <c r="A24" s="40" t="s">
        <v>202</v>
      </c>
      <c r="B24" s="25" t="s">
        <v>203</v>
      </c>
      <c r="C24" s="43" t="n">
        <f aca="false">(C22-C23)*100</f>
        <v>0.0472589975305304</v>
      </c>
      <c r="D24" s="43" t="n">
        <f aca="false">(D22-D23)*100</f>
        <v>7.87874329236629</v>
      </c>
      <c r="E24" s="43" t="n">
        <f aca="false">(E22-E23)*100</f>
        <v>-1.13636205640071</v>
      </c>
      <c r="F24" s="27" t="s">
        <v>204</v>
      </c>
    </row>
    <row r="25" customFormat="false" ht="21.75" hidden="false" customHeight="true" outlineLevel="0" collapsed="false">
      <c r="A25" s="23" t="s">
        <v>205</v>
      </c>
      <c r="B25" s="23"/>
      <c r="C25" s="23"/>
      <c r="D25" s="23"/>
      <c r="E25" s="23"/>
      <c r="F25" s="23"/>
    </row>
    <row r="26" customFormat="false" ht="15" hidden="false" customHeight="false" outlineLevel="0" collapsed="false">
      <c r="A26" s="24" t="s">
        <v>206</v>
      </c>
      <c r="B26" s="25" t="s">
        <v>62</v>
      </c>
      <c r="C26" s="33" t="n">
        <f aca="false">C6*4</f>
        <v>138476</v>
      </c>
      <c r="D26" s="33" t="n">
        <f aca="false">D6*4</f>
        <v>101356</v>
      </c>
      <c r="E26" s="33" t="n">
        <f aca="false">E6*4</f>
        <v>61484</v>
      </c>
      <c r="F26" s="27" t="s">
        <v>207</v>
      </c>
    </row>
    <row r="27" customFormat="false" ht="15" hidden="false" customHeight="false" outlineLevel="0" collapsed="false">
      <c r="A27" s="24" t="s">
        <v>208</v>
      </c>
      <c r="B27" s="25" t="s">
        <v>62</v>
      </c>
      <c r="C27" s="33" t="n">
        <f aca="false">C26/Inputs!C22</f>
        <v>4170963.85542169</v>
      </c>
      <c r="D27" s="33" t="n">
        <f aca="false">D26/Inputs!D22</f>
        <v>2424784.68899522</v>
      </c>
      <c r="E27" s="33" t="n">
        <f aca="false">E26/Inputs!E22</f>
        <v>1829880.95238095</v>
      </c>
      <c r="F27" s="27" t="s">
        <v>209</v>
      </c>
    </row>
    <row r="28" customFormat="false" ht="15" hidden="false" customHeight="false" outlineLevel="0" collapsed="false">
      <c r="A28" s="24" t="s">
        <v>210</v>
      </c>
      <c r="B28" s="25" t="s">
        <v>62</v>
      </c>
      <c r="C28" s="33" t="n">
        <f aca="false">IF(Inputs!C23="","n/a",C26/Inputs!C23)</f>
        <v>4382151.89873418</v>
      </c>
      <c r="D28" s="33" t="str">
        <f aca="false">IF(Inputs!D23="","n/a",D26/Inputs!D23)</f>
        <v>n/a</v>
      </c>
      <c r="E28" s="33" t="str">
        <f aca="false">IF(Inputs!E23="","n/a",E26/Inputs!E23)</f>
        <v>n/a</v>
      </c>
      <c r="F28" s="27" t="s">
        <v>211</v>
      </c>
    </row>
    <row r="29" customFormat="false" ht="15" hidden="false" customHeight="false" outlineLevel="0" collapsed="false">
      <c r="A29" s="40" t="s">
        <v>212</v>
      </c>
      <c r="B29" s="25" t="s">
        <v>65</v>
      </c>
      <c r="C29" s="44" t="n">
        <f aca="false">C13*4/C27</f>
        <v>0.0187103035905139</v>
      </c>
      <c r="D29" s="44" t="n">
        <f aca="false">D13*4/D27</f>
        <v>0.0244854729863057</v>
      </c>
      <c r="E29" s="44" t="n">
        <f aca="false">E13*4/E27</f>
        <v>0.0153080996682064</v>
      </c>
      <c r="F29" s="27" t="s">
        <v>213</v>
      </c>
    </row>
    <row r="31" customFormat="false" ht="11.9" hidden="false" customHeight="false" outlineLevel="0" collapsed="false">
      <c r="A31" s="31" t="s">
        <v>93</v>
      </c>
      <c r="B31" s="31"/>
      <c r="C31" s="31"/>
      <c r="D31" s="31"/>
      <c r="E31" s="31"/>
      <c r="F31" s="31"/>
    </row>
  </sheetData>
  <mergeCells count="7">
    <mergeCell ref="A1:F1"/>
    <mergeCell ref="A2:F2"/>
    <mergeCell ref="A5:F5"/>
    <mergeCell ref="A16:F16"/>
    <mergeCell ref="A20:F20"/>
    <mergeCell ref="A25:F25"/>
    <mergeCell ref="A31:F31"/>
  </mergeCells>
  <hyperlinks>
    <hyperlink ref="A31" r:id="rId1" display="The Mountain Path Academy · Prof. V. Ravichandran ·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The Mountain Path Academy · themountainpathacademy.com ·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4D80"/>
    <pageSetUpPr fitToPage="tru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1"/>
    <col collapsed="false" customWidth="true" hidden="false" outlineLevel="0" max="5" min="3" style="0" width="15"/>
    <col collapsed="false" customWidth="true" hidden="false" outlineLevel="0" max="6" min="6" style="0" width="58"/>
  </cols>
  <sheetData>
    <row r="1" customFormat="false" ht="30" hidden="false" customHeight="true" outlineLevel="0" collapsed="false">
      <c r="A1" s="19" t="s">
        <v>214</v>
      </c>
      <c r="B1" s="19"/>
      <c r="C1" s="19"/>
      <c r="D1" s="19"/>
      <c r="E1" s="19"/>
      <c r="F1" s="19"/>
    </row>
    <row r="2" customFormat="false" ht="19.5" hidden="false" customHeight="true" outlineLevel="0" collapsed="false">
      <c r="A2" s="20" t="s">
        <v>215</v>
      </c>
      <c r="B2" s="20"/>
      <c r="C2" s="20"/>
      <c r="D2" s="20"/>
      <c r="E2" s="20"/>
      <c r="F2" s="20"/>
    </row>
    <row r="4" customFormat="false" ht="27.75" hidden="false" customHeight="true" outlineLevel="0" collapsed="false">
      <c r="A4" s="21" t="s">
        <v>55</v>
      </c>
      <c r="B4" s="22" t="s">
        <v>56</v>
      </c>
      <c r="C4" s="22" t="s">
        <v>57</v>
      </c>
      <c r="D4" s="22" t="s">
        <v>58</v>
      </c>
      <c r="E4" s="22" t="s">
        <v>59</v>
      </c>
      <c r="F4" s="22" t="s">
        <v>173</v>
      </c>
    </row>
    <row r="5" customFormat="false" ht="21.75" hidden="false" customHeight="true" outlineLevel="0" collapsed="false">
      <c r="A5" s="23" t="s">
        <v>216</v>
      </c>
      <c r="B5" s="23"/>
      <c r="C5" s="23"/>
      <c r="D5" s="23"/>
      <c r="E5" s="23"/>
      <c r="F5" s="23"/>
    </row>
    <row r="6" customFormat="false" ht="15" hidden="false" customHeight="false" outlineLevel="0" collapsed="false">
      <c r="A6" s="24" t="s">
        <v>217</v>
      </c>
      <c r="B6" s="25" t="s">
        <v>62</v>
      </c>
      <c r="C6" s="26" t="n">
        <f aca="false">Inputs!C25</f>
        <v>3219500</v>
      </c>
      <c r="D6" s="26" t="n">
        <f aca="false">Inputs!D25</f>
        <v>1832000</v>
      </c>
      <c r="E6" s="26" t="n">
        <f aca="false">Inputs!E25</f>
        <v>1373727</v>
      </c>
      <c r="F6" s="27" t="s">
        <v>175</v>
      </c>
    </row>
    <row r="7" customFormat="false" ht="15" hidden="false" customHeight="false" outlineLevel="0" collapsed="false">
      <c r="A7" s="24" t="s">
        <v>218</v>
      </c>
      <c r="B7" s="25" t="s">
        <v>62</v>
      </c>
      <c r="C7" s="26" t="n">
        <f aca="false">Inputs!C26</f>
        <v>3327400</v>
      </c>
      <c r="D7" s="26" t="n">
        <f aca="false">Inputs!D26</f>
        <v>2050000</v>
      </c>
      <c r="E7" s="26" t="n">
        <f aca="false">Inputs!E26</f>
        <v>1452066</v>
      </c>
      <c r="F7" s="27" t="s">
        <v>175</v>
      </c>
    </row>
    <row r="8" customFormat="false" ht="15" hidden="false" customHeight="false" outlineLevel="0" collapsed="false">
      <c r="A8" s="40" t="s">
        <v>219</v>
      </c>
      <c r="B8" s="25" t="s">
        <v>65</v>
      </c>
      <c r="C8" s="42" t="n">
        <f aca="false">C6/C7</f>
        <v>0.967572278656008</v>
      </c>
      <c r="D8" s="42" t="n">
        <f aca="false">D6/D7</f>
        <v>0.893658536585366</v>
      </c>
      <c r="E8" s="42" t="n">
        <f aca="false">E6/E7</f>
        <v>0.946049972935115</v>
      </c>
      <c r="F8" s="27" t="s">
        <v>220</v>
      </c>
    </row>
    <row r="9" customFormat="false" ht="15" hidden="false" customHeight="false" outlineLevel="0" collapsed="false">
      <c r="A9" s="40" t="s">
        <v>73</v>
      </c>
      <c r="B9" s="25" t="s">
        <v>65</v>
      </c>
      <c r="C9" s="45" t="n">
        <f aca="false">Inputs!C27</f>
        <v>0.316</v>
      </c>
      <c r="D9" s="45" t="n">
        <f aca="false">Inputs!D27</f>
        <v>0.358</v>
      </c>
      <c r="E9" s="45" t="n">
        <f aca="false">Inputs!E27</f>
        <v>0.36</v>
      </c>
      <c r="F9" s="27" t="s">
        <v>221</v>
      </c>
    </row>
    <row r="11" customFormat="false" ht="21.75" hidden="false" customHeight="true" outlineLevel="0" collapsed="false">
      <c r="A11" s="23" t="s">
        <v>222</v>
      </c>
      <c r="B11" s="23"/>
      <c r="C11" s="23"/>
      <c r="D11" s="23"/>
      <c r="E11" s="23"/>
      <c r="F11" s="23"/>
    </row>
    <row r="12" customFormat="false" ht="27.75" hidden="false" customHeight="true" outlineLevel="0" collapsed="false">
      <c r="A12" s="21" t="s">
        <v>96</v>
      </c>
      <c r="B12" s="22" t="s">
        <v>56</v>
      </c>
      <c r="C12" s="22" t="s">
        <v>223</v>
      </c>
      <c r="D12" s="22" t="s">
        <v>224</v>
      </c>
      <c r="E12" s="22" t="s">
        <v>225</v>
      </c>
      <c r="F12" s="22" t="s">
        <v>173</v>
      </c>
    </row>
    <row r="13" customFormat="false" ht="15" hidden="false" customHeight="false" outlineLevel="0" collapsed="false">
      <c r="A13" s="24" t="s">
        <v>226</v>
      </c>
      <c r="B13" s="27" t="s">
        <v>65</v>
      </c>
      <c r="C13" s="39" t="n">
        <v>0.025</v>
      </c>
      <c r="D13" s="39" t="n">
        <v>0.025</v>
      </c>
      <c r="E13" s="46"/>
      <c r="F13" s="27" t="s">
        <v>227</v>
      </c>
    </row>
    <row r="14" customFormat="false" ht="15" hidden="false" customHeight="false" outlineLevel="0" collapsed="false">
      <c r="A14" s="24" t="s">
        <v>228</v>
      </c>
      <c r="B14" s="27" t="s">
        <v>65</v>
      </c>
      <c r="C14" s="39" t="n">
        <v>0.07</v>
      </c>
      <c r="D14" s="39" t="n">
        <v>0.07</v>
      </c>
      <c r="E14" s="46"/>
      <c r="F14" s="27" t="s">
        <v>227</v>
      </c>
    </row>
    <row r="15" customFormat="false" ht="15" hidden="false" customHeight="false" outlineLevel="0" collapsed="false">
      <c r="A15" s="24" t="s">
        <v>229</v>
      </c>
      <c r="B15" s="27" t="s">
        <v>65</v>
      </c>
      <c r="C15" s="39" t="n">
        <v>0.4</v>
      </c>
      <c r="D15" s="39" t="n">
        <v>0.32</v>
      </c>
      <c r="E15" s="46"/>
      <c r="F15" s="27" t="s">
        <v>227</v>
      </c>
    </row>
    <row r="16" customFormat="false" ht="15" hidden="false" customHeight="false" outlineLevel="0" collapsed="false">
      <c r="A16" s="24" t="s">
        <v>230</v>
      </c>
      <c r="B16" s="27" t="s">
        <v>65</v>
      </c>
      <c r="C16" s="37" t="n">
        <f aca="false">C15*C13</f>
        <v>0.01</v>
      </c>
      <c r="D16" s="37" t="n">
        <f aca="false">D15*D13</f>
        <v>0.008</v>
      </c>
      <c r="E16" s="46"/>
      <c r="F16" s="27" t="s">
        <v>231</v>
      </c>
    </row>
    <row r="17" customFormat="false" ht="15" hidden="false" customHeight="false" outlineLevel="0" collapsed="false">
      <c r="A17" s="24" t="s">
        <v>232</v>
      </c>
      <c r="B17" s="27" t="s">
        <v>65</v>
      </c>
      <c r="C17" s="37" t="n">
        <f aca="false">(1-C15)*C14</f>
        <v>0.042</v>
      </c>
      <c r="D17" s="37" t="n">
        <f aca="false">(1-D15)*D14</f>
        <v>0.0476</v>
      </c>
      <c r="E17" s="46"/>
      <c r="F17" s="27" t="s">
        <v>233</v>
      </c>
    </row>
    <row r="18" customFormat="false" ht="15" hidden="false" customHeight="false" outlineLevel="0" collapsed="false">
      <c r="A18" s="40" t="s">
        <v>234</v>
      </c>
      <c r="B18" s="27" t="s">
        <v>65</v>
      </c>
      <c r="C18" s="44" t="n">
        <f aca="false">C16+C17</f>
        <v>0.052</v>
      </c>
      <c r="D18" s="44" t="n">
        <f aca="false">D16+D17</f>
        <v>0.0556</v>
      </c>
      <c r="E18" s="47" t="n">
        <f aca="false">(D18-C18)*10000</f>
        <v>36</v>
      </c>
      <c r="F18" s="27" t="s">
        <v>235</v>
      </c>
    </row>
    <row r="20" customFormat="false" ht="11.9" hidden="false" customHeight="false" outlineLevel="0" collapsed="false">
      <c r="A20" s="31" t="s">
        <v>93</v>
      </c>
      <c r="B20" s="31"/>
      <c r="C20" s="31"/>
      <c r="D20" s="31"/>
      <c r="E20" s="31"/>
      <c r="F20" s="31"/>
    </row>
  </sheetData>
  <mergeCells count="5">
    <mergeCell ref="A1:F1"/>
    <mergeCell ref="A2:F2"/>
    <mergeCell ref="A5:F5"/>
    <mergeCell ref="A11:F11"/>
    <mergeCell ref="A20:F20"/>
  </mergeCells>
  <hyperlinks>
    <hyperlink ref="A20" r:id="rId1" display="The Mountain Path Academy · Prof. V. Ravichandran ·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The Mountain Path Academy · themountainpathacademy.com ·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4D80"/>
    <pageSetUpPr fitToPage="true"/>
  </sheetPr>
  <dimension ref="A1:F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1"/>
    <col collapsed="false" customWidth="true" hidden="false" outlineLevel="0" max="5" min="3" style="0" width="15"/>
    <col collapsed="false" customWidth="true" hidden="false" outlineLevel="0" max="6" min="6" style="0" width="58"/>
  </cols>
  <sheetData>
    <row r="1" customFormat="false" ht="30" hidden="false" customHeight="true" outlineLevel="0" collapsed="false">
      <c r="A1" s="19" t="s">
        <v>236</v>
      </c>
      <c r="B1" s="19"/>
      <c r="C1" s="19"/>
      <c r="D1" s="19"/>
      <c r="E1" s="19"/>
      <c r="F1" s="19"/>
    </row>
    <row r="2" customFormat="false" ht="19.5" hidden="false" customHeight="true" outlineLevel="0" collapsed="false">
      <c r="A2" s="20" t="s">
        <v>237</v>
      </c>
      <c r="B2" s="20"/>
      <c r="C2" s="20"/>
      <c r="D2" s="20"/>
      <c r="E2" s="20"/>
      <c r="F2" s="20"/>
    </row>
    <row r="4" customFormat="false" ht="27.75" hidden="false" customHeight="true" outlineLevel="0" collapsed="false">
      <c r="A4" s="21" t="s">
        <v>55</v>
      </c>
      <c r="B4" s="22" t="s">
        <v>56</v>
      </c>
      <c r="C4" s="22" t="s">
        <v>57</v>
      </c>
      <c r="D4" s="22" t="s">
        <v>58</v>
      </c>
      <c r="E4" s="22" t="s">
        <v>59</v>
      </c>
      <c r="F4" s="22" t="s">
        <v>173</v>
      </c>
    </row>
    <row r="5" customFormat="false" ht="21.75" hidden="false" customHeight="true" outlineLevel="0" collapsed="false">
      <c r="A5" s="23" t="s">
        <v>238</v>
      </c>
      <c r="B5" s="23"/>
      <c r="C5" s="23"/>
      <c r="D5" s="23"/>
      <c r="E5" s="23"/>
      <c r="F5" s="23"/>
    </row>
    <row r="6" customFormat="false" ht="15" hidden="false" customHeight="false" outlineLevel="0" collapsed="false">
      <c r="A6" s="24" t="s">
        <v>77</v>
      </c>
      <c r="B6" s="25" t="s">
        <v>65</v>
      </c>
      <c r="C6" s="29" t="n">
        <f aca="false">Inputs!C31</f>
        <v>0.0111</v>
      </c>
      <c r="D6" s="29" t="n">
        <f aca="false">Inputs!D31</f>
        <v>0.012</v>
      </c>
      <c r="E6" s="29" t="n">
        <f aca="false">Inputs!E31</f>
        <v>0.0116</v>
      </c>
      <c r="F6" s="27" t="s">
        <v>175</v>
      </c>
    </row>
    <row r="7" customFormat="false" ht="15" hidden="false" customHeight="false" outlineLevel="0" collapsed="false">
      <c r="A7" s="24" t="s">
        <v>78</v>
      </c>
      <c r="B7" s="25" t="s">
        <v>65</v>
      </c>
      <c r="C7" s="29" t="n">
        <f aca="false">Inputs!C32</f>
        <v>0.0037</v>
      </c>
      <c r="D7" s="29" t="n">
        <f aca="false">Inputs!D32</f>
        <v>0.003</v>
      </c>
      <c r="E7" s="29" t="n">
        <f aca="false">Inputs!E32</f>
        <v>0.0035</v>
      </c>
      <c r="F7" s="27" t="s">
        <v>175</v>
      </c>
    </row>
    <row r="8" customFormat="false" ht="15" hidden="false" customHeight="false" outlineLevel="0" collapsed="false">
      <c r="A8" s="40" t="s">
        <v>239</v>
      </c>
      <c r="B8" s="25" t="s">
        <v>65</v>
      </c>
      <c r="C8" s="42" t="n">
        <f aca="false">IF(Inputs!C33="",(C6-C7)/C6,Inputs!C33)</f>
        <v>0.666666666666667</v>
      </c>
      <c r="D8" s="42" t="n">
        <f aca="false">IF(Inputs!D33="",(D6-D7)/D6,Inputs!D33)</f>
        <v>0.75</v>
      </c>
      <c r="E8" s="42" t="n">
        <f aca="false">IF(Inputs!E33="",(E6-E7)/E6,Inputs!E33)</f>
        <v>0.7</v>
      </c>
      <c r="F8" s="27" t="s">
        <v>240</v>
      </c>
    </row>
    <row r="9" customFormat="false" ht="21.75" hidden="false" customHeight="true" outlineLevel="0" collapsed="false">
      <c r="A9" s="23" t="s">
        <v>241</v>
      </c>
      <c r="B9" s="23"/>
      <c r="C9" s="23"/>
      <c r="D9" s="23"/>
      <c r="E9" s="23"/>
      <c r="F9" s="23"/>
    </row>
    <row r="10" customFormat="false" ht="15" hidden="false" customHeight="false" outlineLevel="0" collapsed="false">
      <c r="A10" s="24" t="s">
        <v>242</v>
      </c>
      <c r="B10" s="25" t="s">
        <v>62</v>
      </c>
      <c r="C10" s="33" t="n">
        <f aca="false">Inputs!C11*4</f>
        <v>14296</v>
      </c>
      <c r="D10" s="33" t="n">
        <f aca="false">Inputs!D11*4</f>
        <v>3404</v>
      </c>
      <c r="E10" s="33" t="n">
        <f aca="false">Inputs!E11*4</f>
        <v>6776</v>
      </c>
      <c r="F10" s="27" t="s">
        <v>243</v>
      </c>
    </row>
    <row r="11" customFormat="false" ht="15" hidden="false" customHeight="false" outlineLevel="0" collapsed="false">
      <c r="A11" s="40" t="s">
        <v>80</v>
      </c>
      <c r="B11" s="25" t="s">
        <v>65</v>
      </c>
      <c r="C11" s="44" t="n">
        <f aca="false">IF(Inputs!C37="",C10/Inputs!C25,Inputs!C37)</f>
        <v>0.0044</v>
      </c>
      <c r="D11" s="44" t="n">
        <f aca="false">IF(Inputs!D37="",D10/Inputs!D25,Inputs!D37)</f>
        <v>0.00185807860262009</v>
      </c>
      <c r="E11" s="44" t="n">
        <f aca="false">IF(Inputs!E37="",E10/Inputs!E25,Inputs!E37)</f>
        <v>0.00493256665989676</v>
      </c>
      <c r="F11" s="27" t="s">
        <v>244</v>
      </c>
    </row>
    <row r="12" customFormat="false" ht="21.75" hidden="false" customHeight="true" outlineLevel="0" collapsed="false">
      <c r="A12" s="23" t="s">
        <v>245</v>
      </c>
      <c r="B12" s="23"/>
      <c r="C12" s="23"/>
      <c r="D12" s="23"/>
      <c r="E12" s="23"/>
      <c r="F12" s="23"/>
    </row>
    <row r="13" customFormat="false" ht="15" hidden="false" customHeight="false" outlineLevel="0" collapsed="false">
      <c r="A13" s="24" t="s">
        <v>246</v>
      </c>
      <c r="B13" s="25" t="s">
        <v>65</v>
      </c>
      <c r="C13" s="29" t="n">
        <f aca="false">Inputs!C30</f>
        <v>0.0117</v>
      </c>
      <c r="D13" s="29" t="n">
        <f aca="false">Inputs!D30</f>
        <v>0.0138</v>
      </c>
      <c r="E13" s="29" t="n">
        <f aca="false">Inputs!E30</f>
        <v>0.0128</v>
      </c>
      <c r="F13" s="27" t="s">
        <v>175</v>
      </c>
    </row>
    <row r="14" customFormat="false" ht="15" hidden="false" customHeight="false" outlineLevel="0" collapsed="false">
      <c r="A14" s="24" t="s">
        <v>247</v>
      </c>
      <c r="B14" s="25" t="s">
        <v>65</v>
      </c>
      <c r="C14" s="28" t="n">
        <f aca="false">Inputs!C28</f>
        <v>0.052</v>
      </c>
      <c r="D14" s="28" t="n">
        <f aca="false">Inputs!D28</f>
        <v>0.123</v>
      </c>
      <c r="E14" s="28" t="n">
        <f aca="false">Inputs!E28</f>
        <v>0.09</v>
      </c>
      <c r="F14" s="27" t="s">
        <v>175</v>
      </c>
    </row>
    <row r="15" customFormat="false" ht="15" hidden="false" customHeight="false" outlineLevel="0" collapsed="false">
      <c r="A15" s="24" t="s">
        <v>248</v>
      </c>
      <c r="B15" s="25" t="s">
        <v>65</v>
      </c>
      <c r="C15" s="37" t="n">
        <f aca="false">C13/(1+C14)</f>
        <v>0.0111216730038023</v>
      </c>
      <c r="D15" s="37" t="n">
        <f aca="false">D13/(1+D14)</f>
        <v>0.0122885129118433</v>
      </c>
      <c r="E15" s="37" t="n">
        <f aca="false">E13/(1+E14)</f>
        <v>0.011743119266055</v>
      </c>
      <c r="F15" s="27" t="s">
        <v>249</v>
      </c>
    </row>
    <row r="16" customFormat="false" ht="15" hidden="false" customHeight="false" outlineLevel="0" collapsed="false">
      <c r="A16" s="24" t="s">
        <v>250</v>
      </c>
      <c r="B16" s="25" t="s">
        <v>65</v>
      </c>
      <c r="C16" s="37" t="n">
        <f aca="false">C6</f>
        <v>0.0111</v>
      </c>
      <c r="D16" s="37" t="n">
        <f aca="false">D6</f>
        <v>0.012</v>
      </c>
      <c r="E16" s="37" t="n">
        <f aca="false">E6</f>
        <v>0.0116</v>
      </c>
      <c r="F16" s="27" t="s">
        <v>251</v>
      </c>
    </row>
    <row r="17" customFormat="false" ht="15" hidden="false" customHeight="false" outlineLevel="0" collapsed="false">
      <c r="A17" s="40" t="s">
        <v>252</v>
      </c>
      <c r="B17" s="25" t="s">
        <v>253</v>
      </c>
      <c r="C17" s="47" t="n">
        <f aca="false">(C15-C16)*10000</f>
        <v>0.216730038022812</v>
      </c>
      <c r="D17" s="47" t="n">
        <f aca="false">(D15-D16)*10000</f>
        <v>2.88512911843276</v>
      </c>
      <c r="E17" s="47" t="n">
        <f aca="false">(E15-E16)*10000</f>
        <v>1.43119266055047</v>
      </c>
      <c r="F17" s="27" t="s">
        <v>254</v>
      </c>
    </row>
    <row r="18" customFormat="false" ht="21.75" hidden="false" customHeight="true" outlineLevel="0" collapsed="false">
      <c r="A18" s="23" t="s">
        <v>255</v>
      </c>
      <c r="B18" s="23"/>
      <c r="C18" s="23"/>
      <c r="D18" s="23"/>
      <c r="E18" s="23"/>
      <c r="F18" s="23"/>
    </row>
    <row r="19" customFormat="false" ht="15" hidden="false" customHeight="false" outlineLevel="0" collapsed="false">
      <c r="A19" s="24" t="s">
        <v>147</v>
      </c>
      <c r="B19" s="25" t="s">
        <v>62</v>
      </c>
      <c r="C19" s="33" t="str">
        <f aca="false">IF(Inputs!C34="","n/a",Inputs!C34)</f>
        <v>n/a</v>
      </c>
      <c r="D19" s="33" t="n">
        <f aca="false">IF(Inputs!D34="","n/a",Inputs!D34)</f>
        <v>4833</v>
      </c>
      <c r="E19" s="33" t="n">
        <f aca="false">IF(Inputs!E34="","n/a",Inputs!E34)</f>
        <v>4762</v>
      </c>
      <c r="F19" s="27" t="s">
        <v>175</v>
      </c>
    </row>
    <row r="20" customFormat="false" ht="15" hidden="false" customHeight="false" outlineLevel="0" collapsed="false">
      <c r="A20" s="24" t="s">
        <v>256</v>
      </c>
      <c r="B20" s="25" t="s">
        <v>62</v>
      </c>
      <c r="C20" s="33" t="str">
        <f aca="false">IF(Inputs!C35="","n/a",Inputs!C35)</f>
        <v>n/a</v>
      </c>
      <c r="D20" s="33" t="n">
        <f aca="false">IF(Inputs!D35="","n/a",Inputs!D35)</f>
        <v>3620</v>
      </c>
      <c r="E20" s="33" t="str">
        <f aca="false">IF(Inputs!E35="","n/a",Inputs!E35)</f>
        <v>n/a</v>
      </c>
      <c r="F20" s="27" t="s">
        <v>175</v>
      </c>
    </row>
    <row r="21" customFormat="false" ht="15" hidden="false" customHeight="false" outlineLevel="0" collapsed="false">
      <c r="A21" s="40" t="s">
        <v>257</v>
      </c>
      <c r="B21" s="25" t="s">
        <v>62</v>
      </c>
      <c r="C21" s="41" t="str">
        <f aca="false">IF(OR(Inputs!C34="",Inputs!C35=""),"n/a",C19-C20)</f>
        <v>n/a</v>
      </c>
      <c r="D21" s="41" t="n">
        <f aca="false">IF(OR(Inputs!D34="",Inputs!D35=""),"n/a",D19-D20)</f>
        <v>1213</v>
      </c>
      <c r="E21" s="41" t="str">
        <f aca="false">IF(OR(Inputs!E34="",Inputs!E35=""),"n/a",E19-E20)</f>
        <v>n/a</v>
      </c>
      <c r="F21" s="27" t="s">
        <v>258</v>
      </c>
    </row>
    <row r="22" customFormat="false" ht="15" hidden="false" customHeight="false" outlineLevel="0" collapsed="false">
      <c r="A22" s="24" t="s">
        <v>259</v>
      </c>
      <c r="B22" s="25" t="s">
        <v>62</v>
      </c>
      <c r="C22" s="33" t="str">
        <f aca="false">IF(Inputs!C36="","n/a",Inputs!C36)</f>
        <v>n/a</v>
      </c>
      <c r="D22" s="33" t="n">
        <f aca="false">IF(Inputs!D36="","n/a",Inputs!D36)</f>
        <v>1592</v>
      </c>
      <c r="E22" s="33" t="str">
        <f aca="false">IF(Inputs!E36="","n/a",Inputs!E36)</f>
        <v>n/a</v>
      </c>
      <c r="F22" s="27" t="s">
        <v>175</v>
      </c>
    </row>
    <row r="23" customFormat="false" ht="15" hidden="false" customHeight="false" outlineLevel="0" collapsed="false">
      <c r="A23" s="40" t="s">
        <v>260</v>
      </c>
      <c r="B23" s="25" t="s">
        <v>62</v>
      </c>
      <c r="C23" s="41" t="str">
        <f aca="false">IF(OR(Inputs!C34="",Inputs!C35="",Inputs!C36=""),"n/a",C21-C22)</f>
        <v>n/a</v>
      </c>
      <c r="D23" s="41" t="n">
        <f aca="false">IF(OR(Inputs!D34="",Inputs!D35="",Inputs!D36=""),"n/a",D21-D22)</f>
        <v>-379</v>
      </c>
      <c r="E23" s="41" t="str">
        <f aca="false">IF(OR(Inputs!E34="",Inputs!E35="",Inputs!E36=""),"n/a",E21-E22)</f>
        <v>n/a</v>
      </c>
      <c r="F23" s="27" t="s">
        <v>261</v>
      </c>
    </row>
    <row r="25" customFormat="false" ht="11.9" hidden="false" customHeight="false" outlineLevel="0" collapsed="false">
      <c r="A25" s="31" t="s">
        <v>93</v>
      </c>
      <c r="B25" s="31"/>
      <c r="C25" s="31"/>
      <c r="D25" s="31"/>
      <c r="E25" s="31"/>
      <c r="F25" s="31"/>
    </row>
  </sheetData>
  <mergeCells count="7">
    <mergeCell ref="A1:F1"/>
    <mergeCell ref="A2:F2"/>
    <mergeCell ref="A5:F5"/>
    <mergeCell ref="A9:F9"/>
    <mergeCell ref="A12:F12"/>
    <mergeCell ref="A18:F18"/>
    <mergeCell ref="A25:F25"/>
  </mergeCells>
  <hyperlinks>
    <hyperlink ref="A25" r:id="rId1" display="The Mountain Path Academy · Prof. V. Ravichandran ·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The Mountain Path Academy · themountainpathacademy.com ·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4D80"/>
    <pageSetUpPr fitToPage="true"/>
  </sheetPr>
  <dimension ref="A1:F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1"/>
    <col collapsed="false" customWidth="true" hidden="false" outlineLevel="0" max="5" min="3" style="0" width="15"/>
    <col collapsed="false" customWidth="true" hidden="false" outlineLevel="0" max="6" min="6" style="0" width="58"/>
  </cols>
  <sheetData>
    <row r="1" customFormat="false" ht="30" hidden="false" customHeight="true" outlineLevel="0" collapsed="false">
      <c r="A1" s="19" t="s">
        <v>262</v>
      </c>
      <c r="B1" s="19"/>
      <c r="C1" s="19"/>
      <c r="D1" s="19"/>
      <c r="E1" s="19"/>
      <c r="F1" s="19"/>
    </row>
    <row r="2" customFormat="false" ht="19.5" hidden="false" customHeight="true" outlineLevel="0" collapsed="false">
      <c r="A2" s="20" t="s">
        <v>263</v>
      </c>
      <c r="B2" s="20"/>
      <c r="C2" s="20"/>
      <c r="D2" s="20"/>
      <c r="E2" s="20"/>
      <c r="F2" s="20"/>
    </row>
    <row r="4" customFormat="false" ht="27.75" hidden="false" customHeight="true" outlineLevel="0" collapsed="false">
      <c r="A4" s="21" t="s">
        <v>55</v>
      </c>
      <c r="B4" s="22" t="s">
        <v>56</v>
      </c>
      <c r="C4" s="22" t="s">
        <v>57</v>
      </c>
      <c r="D4" s="22" t="s">
        <v>58</v>
      </c>
      <c r="E4" s="22" t="s">
        <v>59</v>
      </c>
      <c r="F4" s="22" t="s">
        <v>173</v>
      </c>
    </row>
    <row r="5" customFormat="false" ht="21.75" hidden="false" customHeight="true" outlineLevel="0" collapsed="false">
      <c r="A5" s="23" t="s">
        <v>264</v>
      </c>
      <c r="B5" s="23"/>
      <c r="C5" s="23"/>
      <c r="D5" s="23"/>
      <c r="E5" s="23"/>
      <c r="F5" s="23"/>
    </row>
    <row r="6" customFormat="false" ht="15" hidden="false" customHeight="false" outlineLevel="0" collapsed="false">
      <c r="A6" s="24" t="s">
        <v>81</v>
      </c>
      <c r="B6" s="25" t="s">
        <v>65</v>
      </c>
      <c r="C6" s="29" t="n">
        <f aca="false">Inputs!C39</f>
        <v>0.189</v>
      </c>
      <c r="D6" s="29" t="n">
        <f aca="false">Inputs!D39</f>
        <v>0.1668</v>
      </c>
      <c r="E6" s="29" t="n">
        <f aca="false">Inputs!E39</f>
        <v>0.1627</v>
      </c>
      <c r="F6" s="27" t="s">
        <v>175</v>
      </c>
    </row>
    <row r="7" customFormat="false" ht="15" hidden="false" customHeight="false" outlineLevel="0" collapsed="false">
      <c r="A7" s="24" t="s">
        <v>153</v>
      </c>
      <c r="B7" s="25" t="s">
        <v>65</v>
      </c>
      <c r="C7" s="29" t="n">
        <f aca="false">Inputs!C41</f>
        <v>0.119</v>
      </c>
      <c r="D7" s="29" t="n">
        <f aca="false">Inputs!D41</f>
        <v>0.117</v>
      </c>
      <c r="E7" s="29" t="n">
        <f aca="false">Inputs!E41</f>
        <v>0.115</v>
      </c>
      <c r="F7" s="27" t="s">
        <v>175</v>
      </c>
    </row>
    <row r="8" customFormat="false" ht="15" hidden="false" customHeight="false" outlineLevel="0" collapsed="false">
      <c r="A8" s="40" t="s">
        <v>265</v>
      </c>
      <c r="B8" s="25" t="s">
        <v>253</v>
      </c>
      <c r="C8" s="47" t="n">
        <f aca="false">(C6-C7)*10000</f>
        <v>700</v>
      </c>
      <c r="D8" s="47" t="n">
        <f aca="false">(D6-D7)*10000</f>
        <v>498</v>
      </c>
      <c r="E8" s="47" t="n">
        <f aca="false">(E6-E7)*10000</f>
        <v>477</v>
      </c>
      <c r="F8" s="27" t="s">
        <v>266</v>
      </c>
    </row>
    <row r="9" customFormat="false" ht="15" hidden="false" customHeight="false" outlineLevel="0" collapsed="false">
      <c r="A9" s="24" t="s">
        <v>82</v>
      </c>
      <c r="B9" s="25" t="s">
        <v>65</v>
      </c>
      <c r="C9" s="29" t="n">
        <f aca="false">Inputs!C40</f>
        <v>0.171</v>
      </c>
      <c r="D9" s="29" t="n">
        <f aca="false">Inputs!D40</f>
        <v>0.1601</v>
      </c>
      <c r="E9" s="29" t="n">
        <f aca="false">Inputs!E40</f>
        <v>0.1461</v>
      </c>
      <c r="F9" s="27" t="s">
        <v>175</v>
      </c>
    </row>
    <row r="10" customFormat="false" ht="15" hidden="false" customHeight="false" outlineLevel="0" collapsed="false">
      <c r="A10" s="40" t="s">
        <v>267</v>
      </c>
      <c r="B10" s="25" t="s">
        <v>253</v>
      </c>
      <c r="C10" s="47" t="n">
        <f aca="false">(C9-Inputs!$C$50)*10000</f>
        <v>410</v>
      </c>
      <c r="D10" s="47" t="n">
        <f aca="false">(D9-Inputs!$C$50)*10000</f>
        <v>301</v>
      </c>
      <c r="E10" s="47" t="n">
        <f aca="false">(E9-Inputs!$C$50)*10000</f>
        <v>161</v>
      </c>
      <c r="F10" s="27" t="s">
        <v>268</v>
      </c>
    </row>
    <row r="12" customFormat="false" ht="21.75" hidden="false" customHeight="true" outlineLevel="0" collapsed="false">
      <c r="A12" s="23" t="s">
        <v>269</v>
      </c>
      <c r="B12" s="23"/>
      <c r="C12" s="23"/>
      <c r="D12" s="23"/>
      <c r="E12" s="23"/>
      <c r="F12" s="23"/>
    </row>
    <row r="13" customFormat="false" ht="15" hidden="false" customHeight="false" outlineLevel="0" collapsed="false">
      <c r="A13" s="24" t="s">
        <v>270</v>
      </c>
      <c r="B13" s="27" t="s">
        <v>65</v>
      </c>
      <c r="C13" s="39" t="n">
        <v>0.16</v>
      </c>
      <c r="F13" s="27" t="s">
        <v>227</v>
      </c>
    </row>
    <row r="14" customFormat="false" ht="15" hidden="false" customHeight="false" outlineLevel="0" collapsed="false">
      <c r="A14" s="24" t="s">
        <v>87</v>
      </c>
      <c r="B14" s="27" t="s">
        <v>65</v>
      </c>
      <c r="C14" s="39" t="n">
        <v>0.16</v>
      </c>
      <c r="F14" s="27" t="s">
        <v>227</v>
      </c>
    </row>
    <row r="15" customFormat="false" ht="15" hidden="false" customHeight="false" outlineLevel="0" collapsed="false">
      <c r="A15" s="24" t="s">
        <v>271</v>
      </c>
      <c r="B15" s="27" t="s">
        <v>65</v>
      </c>
      <c r="C15" s="39" t="n">
        <v>0.15</v>
      </c>
      <c r="F15" s="27" t="s">
        <v>227</v>
      </c>
    </row>
    <row r="16" customFormat="false" ht="15" hidden="false" customHeight="false" outlineLevel="0" collapsed="false">
      <c r="A16" s="24" t="s">
        <v>272</v>
      </c>
      <c r="B16" s="27" t="s">
        <v>65</v>
      </c>
      <c r="C16" s="39" t="n">
        <v>0.3</v>
      </c>
      <c r="F16" s="27" t="s">
        <v>227</v>
      </c>
    </row>
    <row r="17" customFormat="false" ht="15" hidden="false" customHeight="false" outlineLevel="0" collapsed="false">
      <c r="A17" s="40" t="s">
        <v>273</v>
      </c>
      <c r="B17" s="27" t="s">
        <v>65</v>
      </c>
      <c r="C17" s="42" t="n">
        <f aca="false">C14*(1-C15)</f>
        <v>0.136</v>
      </c>
      <c r="F17" s="27" t="s">
        <v>274</v>
      </c>
    </row>
    <row r="19" customFormat="false" ht="27.75" hidden="false" customHeight="true" outlineLevel="0" collapsed="false">
      <c r="A19" s="21" t="s">
        <v>275</v>
      </c>
      <c r="B19" s="22"/>
      <c r="C19" s="22" t="s">
        <v>82</v>
      </c>
      <c r="D19" s="22" t="s">
        <v>276</v>
      </c>
      <c r="E19" s="22"/>
      <c r="F19" s="22" t="s">
        <v>173</v>
      </c>
    </row>
    <row r="20" customFormat="false" ht="15" hidden="false" customHeight="false" outlineLevel="0" collapsed="false">
      <c r="A20" s="24" t="s">
        <v>277</v>
      </c>
      <c r="C20" s="37" t="n">
        <f aca="false">C13</f>
        <v>0.16</v>
      </c>
      <c r="D20" s="46"/>
      <c r="F20" s="27" t="s">
        <v>278</v>
      </c>
    </row>
    <row r="21" customFormat="false" ht="15" hidden="false" customHeight="false" outlineLevel="0" collapsed="false">
      <c r="A21" s="24" t="s">
        <v>279</v>
      </c>
      <c r="C21" s="37" t="n">
        <f aca="false">C20*(1+$C$17)/(1+$C$16)</f>
        <v>0.139815384615385</v>
      </c>
      <c r="D21" s="48" t="n">
        <f aca="false">(C21-C20)*10000</f>
        <v>-201.846153846154</v>
      </c>
      <c r="F21" s="27" t="s">
        <v>280</v>
      </c>
    </row>
    <row r="22" customFormat="false" ht="15" hidden="false" customHeight="false" outlineLevel="0" collapsed="false">
      <c r="A22" s="24" t="s">
        <v>281</v>
      </c>
      <c r="C22" s="37" t="n">
        <f aca="false">C21*(1+$C$17)/(1+$C$16)</f>
        <v>0.122177136094675</v>
      </c>
      <c r="D22" s="48" t="n">
        <f aca="false">(C22-C21)*10000</f>
        <v>-176.382485207101</v>
      </c>
      <c r="F22" s="27" t="s">
        <v>280</v>
      </c>
    </row>
    <row r="23" customFormat="false" ht="15" hidden="false" customHeight="false" outlineLevel="0" collapsed="false">
      <c r="A23" s="24" t="s">
        <v>282</v>
      </c>
      <c r="C23" s="37" t="n">
        <f aca="false">C22*(1+$C$17)/(1+$C$16)</f>
        <v>0.106764020464269</v>
      </c>
      <c r="D23" s="48" t="n">
        <f aca="false">(C23-C22)*10000</f>
        <v>-154.131156304051</v>
      </c>
      <c r="F23" s="27" t="s">
        <v>280</v>
      </c>
    </row>
    <row r="24" customFormat="false" ht="15" hidden="false" customHeight="false" outlineLevel="0" collapsed="false">
      <c r="A24" s="24" t="s">
        <v>283</v>
      </c>
      <c r="C24" s="37" t="n">
        <f aca="false">C23*(1+$C$17)/(1+$C$16)</f>
        <v>0.093295328651854</v>
      </c>
      <c r="D24" s="48" t="n">
        <f aca="false">(C24-C23)*10000</f>
        <v>-134.686918124155</v>
      </c>
      <c r="F24" s="27" t="s">
        <v>280</v>
      </c>
    </row>
    <row r="25" customFormat="false" ht="15" hidden="false" customHeight="false" outlineLevel="0" collapsed="false">
      <c r="A25" s="24" t="s">
        <v>284</v>
      </c>
      <c r="C25" s="37" t="n">
        <f aca="false">C24*(1+$C$17)/(1+$C$16)</f>
        <v>0.0815257641142355</v>
      </c>
      <c r="D25" s="48" t="n">
        <f aca="false">(C25-C24)*10000</f>
        <v>-117.695645376185</v>
      </c>
      <c r="F25" s="27" t="s">
        <v>280</v>
      </c>
    </row>
    <row r="27" customFormat="false" ht="11.9" hidden="false" customHeight="false" outlineLevel="0" collapsed="false">
      <c r="A27" s="31" t="s">
        <v>93</v>
      </c>
      <c r="B27" s="31"/>
      <c r="C27" s="31"/>
      <c r="D27" s="31"/>
      <c r="E27" s="31"/>
      <c r="F27" s="31"/>
    </row>
  </sheetData>
  <mergeCells count="5">
    <mergeCell ref="A1:F1"/>
    <mergeCell ref="A2:F2"/>
    <mergeCell ref="A5:F5"/>
    <mergeCell ref="A12:F12"/>
    <mergeCell ref="A27:F27"/>
  </mergeCells>
  <hyperlinks>
    <hyperlink ref="A27" r:id="rId1" display="The Mountain Path Academy · Prof. V. Ravichandran ·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The Mountain Path Academy · themountainpathacademy.com ·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4D80"/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8"/>
    <col collapsed="false" customWidth="true" hidden="false" outlineLevel="0" max="4" min="4" style="0" width="16"/>
    <col collapsed="false" customWidth="true" hidden="false" outlineLevel="0" max="5" min="5" style="0" width="4"/>
    <col collapsed="false" customWidth="true" hidden="false" outlineLevel="0" max="6" min="6" style="0" width="56"/>
  </cols>
  <sheetData>
    <row r="1" customFormat="false" ht="30" hidden="false" customHeight="true" outlineLevel="0" collapsed="false">
      <c r="A1" s="19" t="s">
        <v>285</v>
      </c>
      <c r="B1" s="19"/>
      <c r="C1" s="19"/>
      <c r="D1" s="19"/>
      <c r="E1" s="19"/>
      <c r="F1" s="19"/>
    </row>
    <row r="2" customFormat="false" ht="19.5" hidden="false" customHeight="true" outlineLevel="0" collapsed="false">
      <c r="A2" s="20" t="s">
        <v>286</v>
      </c>
      <c r="B2" s="20"/>
      <c r="C2" s="20"/>
      <c r="D2" s="20"/>
      <c r="E2" s="20"/>
      <c r="F2" s="20"/>
    </row>
    <row r="4" customFormat="false" ht="27.75" hidden="false" customHeight="true" outlineLevel="0" collapsed="false">
      <c r="A4" s="21" t="s">
        <v>287</v>
      </c>
      <c r="B4" s="22" t="s">
        <v>288</v>
      </c>
      <c r="C4" s="22" t="s">
        <v>289</v>
      </c>
      <c r="D4" s="22" t="s">
        <v>290</v>
      </c>
      <c r="E4" s="22"/>
      <c r="F4" s="22" t="s">
        <v>173</v>
      </c>
    </row>
    <row r="5" customFormat="false" ht="15" hidden="false" customHeight="false" outlineLevel="0" collapsed="false">
      <c r="A5" s="40" t="s">
        <v>210</v>
      </c>
      <c r="B5" s="46"/>
      <c r="C5" s="49" t="n">
        <f aca="false">Earnings!$C$28</f>
        <v>4382151.89873418</v>
      </c>
      <c r="D5" s="46"/>
      <c r="E5" s="50"/>
      <c r="F5" s="27" t="s">
        <v>291</v>
      </c>
    </row>
    <row r="6" customFormat="false" ht="15" hidden="false" customHeight="false" outlineLevel="0" collapsed="false">
      <c r="A6" s="24" t="s">
        <v>292</v>
      </c>
      <c r="B6" s="26" t="n">
        <f aca="false">Inputs!C6</f>
        <v>34619</v>
      </c>
      <c r="C6" s="33" t="n">
        <f aca="false">B6*4</f>
        <v>138476</v>
      </c>
      <c r="D6" s="37" t="n">
        <f aca="false">C6/$C$5</f>
        <v>0.0316</v>
      </c>
      <c r="E6" s="50"/>
      <c r="F6" s="27" t="s">
        <v>293</v>
      </c>
    </row>
    <row r="7" customFormat="false" ht="15" hidden="false" customHeight="false" outlineLevel="0" collapsed="false">
      <c r="A7" s="24" t="s">
        <v>176</v>
      </c>
      <c r="B7" s="26" t="n">
        <f aca="false">Inputs!C7</f>
        <v>13830</v>
      </c>
      <c r="C7" s="33" t="n">
        <f aca="false">B7*4</f>
        <v>55320</v>
      </c>
      <c r="D7" s="37" t="n">
        <f aca="false">C7/$C$5</f>
        <v>0.012623934833473</v>
      </c>
      <c r="E7" s="50"/>
      <c r="F7" s="27" t="s">
        <v>293</v>
      </c>
    </row>
    <row r="8" customFormat="false" ht="15" hidden="false" customHeight="false" outlineLevel="0" collapsed="false">
      <c r="A8" s="24" t="s">
        <v>179</v>
      </c>
      <c r="B8" s="26" t="n">
        <f aca="false">Inputs!C9</f>
        <v>18970</v>
      </c>
      <c r="C8" s="33" t="n">
        <f aca="false">B8*4</f>
        <v>75880</v>
      </c>
      <c r="D8" s="37" t="n">
        <f aca="false">C8/$C$5</f>
        <v>0.0173156936942142</v>
      </c>
      <c r="E8" s="50"/>
      <c r="F8" s="27" t="s">
        <v>293</v>
      </c>
    </row>
    <row r="9" customFormat="false" ht="15" hidden="false" customHeight="false" outlineLevel="0" collapsed="false">
      <c r="A9" s="24" t="s">
        <v>183</v>
      </c>
      <c r="B9" s="26" t="n">
        <f aca="false">Inputs!C11</f>
        <v>3574</v>
      </c>
      <c r="C9" s="33" t="n">
        <f aca="false">B9*4</f>
        <v>14296</v>
      </c>
      <c r="D9" s="37" t="n">
        <f aca="false">C9/$C$5</f>
        <v>0.00326232415725469</v>
      </c>
      <c r="E9" s="50"/>
      <c r="F9" s="27" t="s">
        <v>293</v>
      </c>
    </row>
    <row r="10" customFormat="false" ht="15" hidden="false" customHeight="false" outlineLevel="0" collapsed="false">
      <c r="A10" s="40" t="s">
        <v>294</v>
      </c>
      <c r="B10" s="46"/>
      <c r="C10" s="46"/>
      <c r="D10" s="44" t="n">
        <f aca="false">D6+D7-D8-D9</f>
        <v>0.0236459169820041</v>
      </c>
      <c r="E10" s="50"/>
      <c r="F10" s="27" t="s">
        <v>295</v>
      </c>
    </row>
    <row r="11" customFormat="false" ht="15" hidden="false" customHeight="false" outlineLevel="0" collapsed="false">
      <c r="A11" s="24" t="s">
        <v>296</v>
      </c>
      <c r="B11" s="46"/>
      <c r="C11" s="46"/>
      <c r="D11" s="37" t="n">
        <f aca="false">D10*Earnings!C15</f>
        <v>0.00583731476934631</v>
      </c>
      <c r="E11" s="50"/>
      <c r="F11" s="27" t="s">
        <v>297</v>
      </c>
    </row>
    <row r="12" customFormat="false" ht="15" hidden="false" customHeight="false" outlineLevel="0" collapsed="false">
      <c r="A12" s="40" t="s">
        <v>298</v>
      </c>
      <c r="B12" s="46"/>
      <c r="C12" s="46"/>
      <c r="D12" s="44" t="n">
        <f aca="false">D10-D11</f>
        <v>0.0178086022126578</v>
      </c>
      <c r="E12" s="50"/>
      <c r="F12" s="27" t="s">
        <v>299</v>
      </c>
    </row>
    <row r="13" customFormat="false" ht="15" hidden="false" customHeight="false" outlineLevel="0" collapsed="false">
      <c r="A13" s="24" t="s">
        <v>300</v>
      </c>
      <c r="B13" s="26" t="n">
        <f aca="false">Inputs!C12</f>
        <v>19510</v>
      </c>
      <c r="C13" s="33" t="n">
        <f aca="false">B13*4</f>
        <v>78040</v>
      </c>
      <c r="D13" s="37" t="n">
        <f aca="false">C13/$C$5</f>
        <v>0.0178086022126578</v>
      </c>
      <c r="E13" s="50"/>
      <c r="F13" s="27" t="s">
        <v>301</v>
      </c>
    </row>
    <row r="14" customFormat="false" ht="15" hidden="false" customHeight="false" outlineLevel="0" collapsed="false">
      <c r="A14" s="24" t="s">
        <v>302</v>
      </c>
      <c r="B14" s="46"/>
      <c r="C14" s="46"/>
      <c r="D14" s="28" t="n">
        <f aca="false">Inputs!C45</f>
        <v>0.136</v>
      </c>
      <c r="E14" s="50"/>
      <c r="F14" s="27" t="s">
        <v>175</v>
      </c>
    </row>
    <row r="15" customFormat="false" ht="15" hidden="false" customHeight="false" outlineLevel="0" collapsed="false">
      <c r="A15" s="40" t="s">
        <v>303</v>
      </c>
      <c r="B15" s="46"/>
      <c r="C15" s="46"/>
      <c r="D15" s="51" t="n">
        <f aca="false">D14/D12</f>
        <v>7.63675881891143</v>
      </c>
      <c r="E15" s="50"/>
      <c r="F15" s="27" t="s">
        <v>304</v>
      </c>
    </row>
    <row r="17" customFormat="false" ht="11.9" hidden="false" customHeight="false" outlineLevel="0" collapsed="false">
      <c r="A17" s="31" t="s">
        <v>93</v>
      </c>
      <c r="B17" s="31"/>
      <c r="C17" s="31"/>
      <c r="D17" s="31"/>
      <c r="E17" s="31"/>
      <c r="F17" s="31"/>
    </row>
  </sheetData>
  <mergeCells count="3">
    <mergeCell ref="A1:F1"/>
    <mergeCell ref="A2:F2"/>
    <mergeCell ref="A17:F17"/>
  </mergeCells>
  <hyperlinks>
    <hyperlink ref="A17" r:id="rId1" display="The Mountain Path Academy · Prof. V. Ravichandran ·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The Mountain Path Academy · themountainpathacademy.com ·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4D80"/>
    <pageSetUpPr fitToPage="true"/>
  </sheetPr>
  <dimension ref="A1:F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1"/>
    <col collapsed="false" customWidth="true" hidden="false" outlineLevel="0" max="5" min="3" style="0" width="15"/>
    <col collapsed="false" customWidth="true" hidden="false" outlineLevel="0" max="6" min="6" style="0" width="58"/>
  </cols>
  <sheetData>
    <row r="1" customFormat="false" ht="30" hidden="false" customHeight="true" outlineLevel="0" collapsed="false">
      <c r="A1" s="19" t="s">
        <v>305</v>
      </c>
      <c r="B1" s="19"/>
      <c r="C1" s="19"/>
      <c r="D1" s="19"/>
      <c r="E1" s="19"/>
      <c r="F1" s="19"/>
    </row>
    <row r="2" customFormat="false" ht="19.5" hidden="false" customHeight="true" outlineLevel="0" collapsed="false">
      <c r="A2" s="20" t="s">
        <v>306</v>
      </c>
      <c r="B2" s="20"/>
      <c r="C2" s="20"/>
      <c r="D2" s="20"/>
      <c r="E2" s="20"/>
      <c r="F2" s="20"/>
    </row>
    <row r="4" customFormat="false" ht="27.75" hidden="false" customHeight="true" outlineLevel="0" collapsed="false">
      <c r="A4" s="21" t="s">
        <v>55</v>
      </c>
      <c r="B4" s="22" t="s">
        <v>56</v>
      </c>
      <c r="C4" s="22" t="s">
        <v>57</v>
      </c>
      <c r="D4" s="22" t="s">
        <v>58</v>
      </c>
      <c r="E4" s="22" t="s">
        <v>59</v>
      </c>
      <c r="F4" s="22" t="s">
        <v>173</v>
      </c>
    </row>
    <row r="5" customFormat="false" ht="21.75" hidden="false" customHeight="true" outlineLevel="0" collapsed="false">
      <c r="A5" s="23" t="s">
        <v>84</v>
      </c>
      <c r="B5" s="23"/>
      <c r="C5" s="23"/>
      <c r="D5" s="23"/>
      <c r="E5" s="23"/>
      <c r="F5" s="23"/>
    </row>
    <row r="6" customFormat="false" ht="15" hidden="false" customHeight="false" outlineLevel="0" collapsed="false">
      <c r="A6" s="24" t="s">
        <v>156</v>
      </c>
      <c r="B6" s="25" t="s">
        <v>157</v>
      </c>
      <c r="C6" s="52" t="n">
        <f aca="false">Inputs!C43</f>
        <v>728.85</v>
      </c>
      <c r="D6" s="52" t="n">
        <f aca="false">Inputs!D43</f>
        <v>1397</v>
      </c>
      <c r="E6" s="52" t="n">
        <f aca="false">Inputs!E43</f>
        <v>1290</v>
      </c>
      <c r="F6" s="27" t="s">
        <v>175</v>
      </c>
    </row>
    <row r="7" customFormat="false" ht="15" hidden="false" customHeight="false" outlineLevel="0" collapsed="false">
      <c r="A7" s="24" t="s">
        <v>159</v>
      </c>
      <c r="B7" s="25" t="s">
        <v>157</v>
      </c>
      <c r="C7" s="52" t="n">
        <f aca="false">Inputs!C44</f>
        <v>391</v>
      </c>
      <c r="D7" s="52" t="n">
        <f aca="false">Inputs!D44</f>
        <v>540</v>
      </c>
      <c r="E7" s="52" t="n">
        <f aca="false">Inputs!E44</f>
        <v>738</v>
      </c>
      <c r="F7" s="27" t="s">
        <v>175</v>
      </c>
    </row>
    <row r="8" customFormat="false" ht="15" hidden="false" customHeight="false" outlineLevel="0" collapsed="false">
      <c r="A8" s="40" t="s">
        <v>307</v>
      </c>
      <c r="B8" s="25" t="s">
        <v>85</v>
      </c>
      <c r="C8" s="51" t="n">
        <f aca="false">C6/C7</f>
        <v>1.86406649616368</v>
      </c>
      <c r="D8" s="51" t="n">
        <f aca="false">D6/D7</f>
        <v>2.58703703703704</v>
      </c>
      <c r="E8" s="51" t="n">
        <f aca="false">E6/E7</f>
        <v>1.7479674796748</v>
      </c>
      <c r="F8" s="27" t="s">
        <v>308</v>
      </c>
    </row>
    <row r="9" customFormat="false" ht="21.75" hidden="false" customHeight="true" outlineLevel="0" collapsed="false">
      <c r="A9" s="23" t="s">
        <v>309</v>
      </c>
      <c r="B9" s="23"/>
      <c r="C9" s="23"/>
      <c r="D9" s="23"/>
      <c r="E9" s="23"/>
      <c r="F9" s="23"/>
    </row>
    <row r="10" customFormat="false" ht="15" hidden="false" customHeight="false" outlineLevel="0" collapsed="false">
      <c r="A10" s="24" t="s">
        <v>310</v>
      </c>
      <c r="B10" s="25" t="s">
        <v>311</v>
      </c>
      <c r="C10" s="53" t="n">
        <f aca="false">Inputs!C46/C6</f>
        <v>1541.85909309186</v>
      </c>
      <c r="D10" s="53" t="n">
        <f aca="false">Inputs!D46/D6</f>
        <v>717.989262705798</v>
      </c>
      <c r="E10" s="53" t="n">
        <f aca="false">Inputs!E46/E6</f>
        <v>311.386821705426</v>
      </c>
      <c r="F10" s="27" t="s">
        <v>312</v>
      </c>
    </row>
    <row r="11" customFormat="false" ht="15" hidden="false" customHeight="false" outlineLevel="0" collapsed="false">
      <c r="A11" s="24" t="s">
        <v>313</v>
      </c>
      <c r="B11" s="25" t="s">
        <v>62</v>
      </c>
      <c r="C11" s="33" t="n">
        <f aca="false">Inputs!C25*Inputs!$C$51</f>
        <v>3187305</v>
      </c>
      <c r="D11" s="33" t="n">
        <f aca="false">Inputs!D25*Inputs!$C$51</f>
        <v>1813680</v>
      </c>
      <c r="E11" s="33" t="n">
        <f aca="false">Inputs!E25*Inputs!$C$51</f>
        <v>1359989.73</v>
      </c>
      <c r="F11" s="27" t="s">
        <v>314</v>
      </c>
    </row>
    <row r="12" customFormat="false" ht="15" hidden="false" customHeight="false" outlineLevel="0" collapsed="false">
      <c r="A12" s="24" t="s">
        <v>315</v>
      </c>
      <c r="B12" s="25" t="s">
        <v>62</v>
      </c>
      <c r="C12" s="33" t="n">
        <f aca="false">Inputs!C32*C11</f>
        <v>11793.0285</v>
      </c>
      <c r="D12" s="33" t="n">
        <f aca="false">Inputs!D32*D11</f>
        <v>5441.04</v>
      </c>
      <c r="E12" s="33" t="n">
        <f aca="false">Inputs!E32*E11</f>
        <v>4759.964055</v>
      </c>
      <c r="F12" s="27" t="s">
        <v>316</v>
      </c>
    </row>
    <row r="13" customFormat="false" ht="15" hidden="false" customHeight="false" outlineLevel="0" collapsed="false">
      <c r="A13" s="24" t="s">
        <v>317</v>
      </c>
      <c r="B13" s="25" t="s">
        <v>157</v>
      </c>
      <c r="C13" s="54" t="n">
        <f aca="false">C12/C10</f>
        <v>7.64857732644797</v>
      </c>
      <c r="D13" s="54" t="n">
        <f aca="false">D12/D10</f>
        <v>7.57816346653294</v>
      </c>
      <c r="E13" s="54" t="n">
        <f aca="false">E12/E10</f>
        <v>15.2863375172086</v>
      </c>
      <c r="F13" s="27" t="s">
        <v>318</v>
      </c>
    </row>
    <row r="14" customFormat="false" ht="15" hidden="false" customHeight="false" outlineLevel="0" collapsed="false">
      <c r="A14" s="24" t="s">
        <v>319</v>
      </c>
      <c r="B14" s="25" t="s">
        <v>157</v>
      </c>
      <c r="C14" s="54" t="n">
        <f aca="false">C7-C13</f>
        <v>383.351422673552</v>
      </c>
      <c r="D14" s="54" t="n">
        <f aca="false">D7-D13</f>
        <v>532.421836533467</v>
      </c>
      <c r="E14" s="54" t="n">
        <f aca="false">E7-E13</f>
        <v>722.713662482791</v>
      </c>
      <c r="F14" s="27" t="s">
        <v>320</v>
      </c>
    </row>
    <row r="15" customFormat="false" ht="15" hidden="false" customHeight="false" outlineLevel="0" collapsed="false">
      <c r="A15" s="40" t="s">
        <v>321</v>
      </c>
      <c r="B15" s="25" t="s">
        <v>85</v>
      </c>
      <c r="C15" s="51" t="n">
        <f aca="false">C6/C14</f>
        <v>1.90125810650939</v>
      </c>
      <c r="D15" s="51" t="n">
        <f aca="false">D6/D14</f>
        <v>2.62385932383182</v>
      </c>
      <c r="E15" s="51" t="n">
        <f aca="false">E6/E14</f>
        <v>1.78493927396968</v>
      </c>
      <c r="F15" s="27" t="s">
        <v>322</v>
      </c>
    </row>
    <row r="16" customFormat="false" ht="21.75" hidden="false" customHeight="true" outlineLevel="0" collapsed="false">
      <c r="A16" s="23" t="s">
        <v>323</v>
      </c>
      <c r="B16" s="23"/>
      <c r="C16" s="23"/>
      <c r="D16" s="23"/>
      <c r="E16" s="23"/>
      <c r="F16" s="23"/>
    </row>
    <row r="17" customFormat="false" ht="15" hidden="false" customHeight="false" outlineLevel="0" collapsed="false">
      <c r="A17" s="24" t="s">
        <v>87</v>
      </c>
      <c r="B17" s="25" t="s">
        <v>65</v>
      </c>
      <c r="C17" s="28" t="n">
        <f aca="false">Inputs!C45</f>
        <v>0.136</v>
      </c>
      <c r="D17" s="28" t="n">
        <f aca="false">Inputs!D45</f>
        <v>0.159</v>
      </c>
      <c r="E17" s="28" t="n">
        <f aca="false">Inputs!E45</f>
        <v>0.131</v>
      </c>
      <c r="F17" s="27" t="s">
        <v>175</v>
      </c>
    </row>
    <row r="18" customFormat="false" ht="15" hidden="false" customHeight="false" outlineLevel="0" collapsed="false">
      <c r="A18" s="40" t="s">
        <v>88</v>
      </c>
      <c r="B18" s="25" t="s">
        <v>85</v>
      </c>
      <c r="C18" s="51" t="n">
        <f aca="false">(C17-Inputs!$C$49)/(Inputs!$C$48-Inputs!$C$49)</f>
        <v>1.4</v>
      </c>
      <c r="D18" s="51" t="n">
        <f aca="false">(D17-Inputs!$C$49)/(Inputs!$C$48-Inputs!$C$49)</f>
        <v>1.975</v>
      </c>
      <c r="E18" s="51" t="n">
        <f aca="false">(E17-Inputs!$C$49)/(Inputs!$C$48-Inputs!$C$49)</f>
        <v>1.275</v>
      </c>
      <c r="F18" s="27" t="s">
        <v>324</v>
      </c>
    </row>
    <row r="19" customFormat="false" ht="15" hidden="false" customHeight="false" outlineLevel="0" collapsed="false">
      <c r="A19" s="24" t="s">
        <v>325</v>
      </c>
      <c r="B19" s="25" t="s">
        <v>65</v>
      </c>
      <c r="C19" s="35" t="n">
        <f aca="false">C8/C18-1</f>
        <v>0.331476068688345</v>
      </c>
      <c r="D19" s="35" t="n">
        <f aca="false">D8/D18-1</f>
        <v>0.309892170651664</v>
      </c>
      <c r="E19" s="35" t="n">
        <f aca="false">E8/E18-1</f>
        <v>0.370954886019448</v>
      </c>
      <c r="F19" s="27" t="s">
        <v>326</v>
      </c>
    </row>
    <row r="20" customFormat="false" ht="15" hidden="false" customHeight="false" outlineLevel="0" collapsed="false">
      <c r="A20" s="40" t="s">
        <v>90</v>
      </c>
      <c r="B20" s="25" t="s">
        <v>65</v>
      </c>
      <c r="C20" s="42" t="n">
        <f aca="false">Inputs!$C$49+(C17-Inputs!$C$49)/C8</f>
        <v>0.110041846744872</v>
      </c>
      <c r="D20" s="42" t="n">
        <f aca="false">Inputs!$C$49+(D17-Inputs!$C$49)/D8</f>
        <v>0.110536864710093</v>
      </c>
      <c r="E20" s="42" t="n">
        <f aca="false">Inputs!$C$49+(E17-Inputs!$C$49)/E8</f>
        <v>0.109176744186047</v>
      </c>
      <c r="F20" s="27" t="s">
        <v>327</v>
      </c>
    </row>
    <row r="21" customFormat="false" ht="15" hidden="false" customHeight="false" outlineLevel="0" collapsed="false">
      <c r="A21" s="24" t="s">
        <v>328</v>
      </c>
      <c r="B21" s="25" t="s">
        <v>329</v>
      </c>
      <c r="C21" s="55" t="n">
        <f aca="false">C8/(C17*100)</f>
        <v>0.137063712953212</v>
      </c>
      <c r="D21" s="55" t="n">
        <f aca="false">D8/(D17*100)</f>
        <v>0.162706731889122</v>
      </c>
      <c r="E21" s="55" t="n">
        <f aca="false">E8/(E17*100)</f>
        <v>0.133432632036244</v>
      </c>
      <c r="F21" s="27" t="s">
        <v>330</v>
      </c>
    </row>
    <row r="22" customFormat="false" ht="21.75" hidden="false" customHeight="true" outlineLevel="0" collapsed="false">
      <c r="A22" s="23" t="s">
        <v>331</v>
      </c>
      <c r="B22" s="23"/>
      <c r="C22" s="23"/>
      <c r="D22" s="23"/>
      <c r="E22" s="23"/>
      <c r="F22" s="23"/>
    </row>
    <row r="23" customFormat="false" ht="15" hidden="false" customHeight="false" outlineLevel="0" collapsed="false">
      <c r="A23" s="24" t="s">
        <v>82</v>
      </c>
      <c r="B23" s="25" t="s">
        <v>65</v>
      </c>
      <c r="C23" s="29" t="n">
        <f aca="false">Inputs!C40</f>
        <v>0.171</v>
      </c>
      <c r="D23" s="29" t="n">
        <f aca="false">Inputs!D40</f>
        <v>0.1601</v>
      </c>
      <c r="E23" s="29" t="n">
        <f aca="false">Inputs!E40</f>
        <v>0.1461</v>
      </c>
      <c r="F23" s="27" t="s">
        <v>175</v>
      </c>
    </row>
    <row r="24" customFormat="false" ht="15" hidden="false" customHeight="false" outlineLevel="0" collapsed="false">
      <c r="A24" s="24" t="s">
        <v>332</v>
      </c>
      <c r="B24" s="25" t="s">
        <v>65</v>
      </c>
      <c r="C24" s="35" t="n">
        <f aca="false">MAX(0,(C23-Inputs!$C$50)/C23)</f>
        <v>0.239766081871345</v>
      </c>
      <c r="D24" s="35" t="n">
        <f aca="false">MAX(0,(D23-Inputs!$C$50)/D23)</f>
        <v>0.188007495315428</v>
      </c>
      <c r="E24" s="35" t="n">
        <f aca="false">MAX(0,(E23-Inputs!$C$50)/E23)</f>
        <v>0.110198494182067</v>
      </c>
      <c r="F24" s="27" t="s">
        <v>333</v>
      </c>
    </row>
    <row r="25" customFormat="false" ht="15" hidden="false" customHeight="false" outlineLevel="0" collapsed="false">
      <c r="A25" s="24" t="s">
        <v>334</v>
      </c>
      <c r="B25" s="25" t="s">
        <v>157</v>
      </c>
      <c r="C25" s="54" t="n">
        <f aca="false">C24*C7</f>
        <v>93.7485380116959</v>
      </c>
      <c r="D25" s="54" t="n">
        <f aca="false">D24*D7</f>
        <v>101.524047470331</v>
      </c>
      <c r="E25" s="54" t="n">
        <f aca="false">E24*E7</f>
        <v>81.3264887063655</v>
      </c>
      <c r="F25" s="27" t="s">
        <v>335</v>
      </c>
    </row>
    <row r="26" customFormat="false" ht="15" hidden="false" customHeight="false" outlineLevel="0" collapsed="false">
      <c r="A26" s="24" t="s">
        <v>336</v>
      </c>
      <c r="B26" s="25" t="s">
        <v>157</v>
      </c>
      <c r="C26" s="54" t="n">
        <f aca="false">C7-C25</f>
        <v>297.251461988304</v>
      </c>
      <c r="D26" s="54" t="n">
        <f aca="false">D7-D25</f>
        <v>438.475952529669</v>
      </c>
      <c r="E26" s="54" t="n">
        <f aca="false">E7-E25</f>
        <v>656.673511293635</v>
      </c>
      <c r="F26" s="27" t="s">
        <v>337</v>
      </c>
    </row>
    <row r="27" customFormat="false" ht="15" hidden="false" customHeight="false" outlineLevel="0" collapsed="false">
      <c r="A27" s="24" t="s">
        <v>338</v>
      </c>
      <c r="B27" s="25" t="s">
        <v>157</v>
      </c>
      <c r="C27" s="54" t="n">
        <f aca="false">C6-C25</f>
        <v>635.101461988304</v>
      </c>
      <c r="D27" s="54" t="n">
        <f aca="false">D6-D25</f>
        <v>1295.47595252967</v>
      </c>
      <c r="E27" s="54" t="n">
        <f aca="false">E6-E25</f>
        <v>1208.67351129363</v>
      </c>
      <c r="F27" s="27" t="s">
        <v>339</v>
      </c>
    </row>
    <row r="28" customFormat="false" ht="15" hidden="false" customHeight="false" outlineLevel="0" collapsed="false">
      <c r="A28" s="40" t="s">
        <v>340</v>
      </c>
      <c r="B28" s="25" t="s">
        <v>85</v>
      </c>
      <c r="C28" s="51" t="n">
        <f aca="false">C27/C26</f>
        <v>2.136579775723</v>
      </c>
      <c r="D28" s="51" t="n">
        <f aca="false">D27/D26</f>
        <v>2.95449715099715</v>
      </c>
      <c r="E28" s="51" t="n">
        <f aca="false">E27/E26</f>
        <v>1.84060037523452</v>
      </c>
      <c r="F28" s="27" t="s">
        <v>341</v>
      </c>
    </row>
    <row r="29" customFormat="false" ht="15" hidden="false" customHeight="false" outlineLevel="0" collapsed="false">
      <c r="A29" s="40" t="s">
        <v>342</v>
      </c>
      <c r="B29" s="25" t="s">
        <v>65</v>
      </c>
      <c r="C29" s="42" t="n">
        <f aca="false">C17*C7/C26</f>
        <v>0.178892307692308</v>
      </c>
      <c r="D29" s="42" t="n">
        <f aca="false">D17*D7/D26</f>
        <v>0.195814615384615</v>
      </c>
      <c r="E29" s="42" t="n">
        <f aca="false">E17*E7/E26</f>
        <v>0.147223846153846</v>
      </c>
      <c r="F29" s="27" t="s">
        <v>343</v>
      </c>
    </row>
    <row r="31" customFormat="false" ht="21.75" hidden="false" customHeight="true" outlineLevel="0" collapsed="false">
      <c r="A31" s="23" t="s">
        <v>344</v>
      </c>
      <c r="B31" s="23"/>
      <c r="C31" s="23"/>
      <c r="D31" s="23"/>
      <c r="E31" s="23"/>
      <c r="F31" s="23"/>
    </row>
    <row r="32" customFormat="false" ht="15" hidden="false" customHeight="false" outlineLevel="0" collapsed="false">
      <c r="A32" s="40" t="s">
        <v>345</v>
      </c>
      <c r="C32" s="39" t="n">
        <v>0.159</v>
      </c>
      <c r="F32" s="27" t="s">
        <v>346</v>
      </c>
    </row>
    <row r="34" customFormat="false" ht="27.75" hidden="false" customHeight="true" outlineLevel="0" collapsed="false">
      <c r="A34" s="21" t="s">
        <v>347</v>
      </c>
      <c r="B34" s="56" t="n">
        <v>0.06</v>
      </c>
      <c r="C34" s="56" t="n">
        <v>0.07</v>
      </c>
      <c r="D34" s="56" t="n">
        <v>0.08</v>
      </c>
      <c r="E34" s="56" t="n">
        <v>0.09</v>
      </c>
      <c r="F34" s="56" t="n">
        <v>0.1</v>
      </c>
    </row>
    <row r="35" customFormat="false" ht="15" hidden="false" customHeight="false" outlineLevel="0" collapsed="false">
      <c r="A35" s="57" t="n">
        <v>0.1</v>
      </c>
      <c r="B35" s="58" t="n">
        <f aca="false">IF($A35&gt;B$34,($C$32-B$34)/($A35-B$34),"n/a")</f>
        <v>2.475</v>
      </c>
      <c r="C35" s="58" t="n">
        <f aca="false">IF($A35&gt;C$34,($C$32-C$34)/($A35-C$34),"n/a")</f>
        <v>2.96666666666667</v>
      </c>
      <c r="D35" s="58" t="n">
        <f aca="false">IF($A35&gt;D$34,($C$32-D$34)/($A35-D$34),"n/a")</f>
        <v>3.95</v>
      </c>
      <c r="E35" s="58" t="n">
        <f aca="false">IF($A35&gt;E$34,($C$32-E$34)/($A35-E$34),"n/a")</f>
        <v>6.89999999999999</v>
      </c>
      <c r="F35" s="58" t="str">
        <f aca="false">IF($A35&gt;F$34,($C$32-F$34)/($A35-F$34),"n/a")</f>
        <v>n/a</v>
      </c>
    </row>
    <row r="36" customFormat="false" ht="15" hidden="false" customHeight="false" outlineLevel="0" collapsed="false">
      <c r="A36" s="57" t="n">
        <v>0.11</v>
      </c>
      <c r="B36" s="58" t="n">
        <f aca="false">IF($A36&gt;B$34,($C$32-B$34)/($A36-B$34),"n/a")</f>
        <v>1.98</v>
      </c>
      <c r="C36" s="58" t="n">
        <f aca="false">IF($A36&gt;C$34,($C$32-C$34)/($A36-C$34),"n/a")</f>
        <v>2.225</v>
      </c>
      <c r="D36" s="58" t="n">
        <f aca="false">IF($A36&gt;D$34,($C$32-D$34)/($A36-D$34),"n/a")</f>
        <v>2.63333333333333</v>
      </c>
      <c r="E36" s="58" t="n">
        <f aca="false">IF($A36&gt;E$34,($C$32-E$34)/($A36-E$34),"n/a")</f>
        <v>3.45</v>
      </c>
      <c r="F36" s="58" t="n">
        <f aca="false">IF($A36&gt;F$34,($C$32-F$34)/($A36-F$34),"n/a")</f>
        <v>5.9</v>
      </c>
    </row>
    <row r="37" customFormat="false" ht="15" hidden="false" customHeight="false" outlineLevel="0" collapsed="false">
      <c r="A37" s="57" t="n">
        <v>0.12</v>
      </c>
      <c r="B37" s="58" t="n">
        <f aca="false">IF($A37&gt;B$34,($C$32-B$34)/($A37-B$34),"n/a")</f>
        <v>1.65</v>
      </c>
      <c r="C37" s="58" t="n">
        <f aca="false">IF($A37&gt;C$34,($C$32-C$34)/($A37-C$34),"n/a")</f>
        <v>1.78</v>
      </c>
      <c r="D37" s="58" t="n">
        <f aca="false">IF($A37&gt;D$34,($C$32-D$34)/($A37-D$34),"n/a")</f>
        <v>1.975</v>
      </c>
      <c r="E37" s="58" t="n">
        <f aca="false">IF($A37&gt;E$34,($C$32-E$34)/($A37-E$34),"n/a")</f>
        <v>2.3</v>
      </c>
      <c r="F37" s="58" t="n">
        <f aca="false">IF($A37&gt;F$34,($C$32-F$34)/($A37-F$34),"n/a")</f>
        <v>2.95</v>
      </c>
    </row>
    <row r="38" customFormat="false" ht="15" hidden="false" customHeight="false" outlineLevel="0" collapsed="false">
      <c r="A38" s="57" t="n">
        <v>0.13</v>
      </c>
      <c r="B38" s="58" t="n">
        <f aca="false">IF($A38&gt;B$34,($C$32-B$34)/($A38-B$34),"n/a")</f>
        <v>1.41428571428571</v>
      </c>
      <c r="C38" s="58" t="n">
        <f aca="false">IF($A38&gt;C$34,($C$32-C$34)/($A38-C$34),"n/a")</f>
        <v>1.48333333333333</v>
      </c>
      <c r="D38" s="58" t="n">
        <f aca="false">IF($A38&gt;D$34,($C$32-D$34)/($A38-D$34),"n/a")</f>
        <v>1.58</v>
      </c>
      <c r="E38" s="58" t="n">
        <f aca="false">IF($A38&gt;E$34,($C$32-E$34)/($A38-E$34),"n/a")</f>
        <v>1.725</v>
      </c>
      <c r="F38" s="58" t="n">
        <f aca="false">IF($A38&gt;F$34,($C$32-F$34)/($A38-F$34),"n/a")</f>
        <v>1.96666666666667</v>
      </c>
    </row>
    <row r="39" customFormat="false" ht="15" hidden="false" customHeight="false" outlineLevel="0" collapsed="false">
      <c r="A39" s="57" t="n">
        <v>0.14</v>
      </c>
      <c r="B39" s="58" t="n">
        <f aca="false">IF($A39&gt;B$34,($C$32-B$34)/($A39-B$34),"n/a")</f>
        <v>1.2375</v>
      </c>
      <c r="C39" s="58" t="n">
        <f aca="false">IF($A39&gt;C$34,($C$32-C$34)/($A39-C$34),"n/a")</f>
        <v>1.27142857142857</v>
      </c>
      <c r="D39" s="58" t="n">
        <f aca="false">IF($A39&gt;D$34,($C$32-D$34)/($A39-D$34),"n/a")</f>
        <v>1.31666666666667</v>
      </c>
      <c r="E39" s="58" t="n">
        <f aca="false">IF($A39&gt;E$34,($C$32-E$34)/($A39-E$34),"n/a")</f>
        <v>1.38</v>
      </c>
      <c r="F39" s="58" t="n">
        <f aca="false">IF($A39&gt;F$34,($C$32-F$34)/($A39-F$34),"n/a")</f>
        <v>1.475</v>
      </c>
    </row>
    <row r="40" customFormat="false" ht="30" hidden="false" customHeight="true" outlineLevel="0" collapsed="false">
      <c r="A40" s="27" t="s">
        <v>348</v>
      </c>
      <c r="B40" s="27"/>
      <c r="C40" s="27"/>
      <c r="D40" s="27"/>
      <c r="E40" s="27"/>
      <c r="F40" s="27"/>
    </row>
    <row r="42" customFormat="false" ht="11.9" hidden="false" customHeight="false" outlineLevel="0" collapsed="false">
      <c r="A42" s="31" t="s">
        <v>93</v>
      </c>
      <c r="B42" s="31"/>
      <c r="C42" s="31"/>
      <c r="D42" s="31"/>
      <c r="E42" s="31"/>
      <c r="F42" s="31"/>
    </row>
  </sheetData>
  <mergeCells count="9">
    <mergeCell ref="A1:F1"/>
    <mergeCell ref="A2:F2"/>
    <mergeCell ref="A5:F5"/>
    <mergeCell ref="A9:F9"/>
    <mergeCell ref="A16:F16"/>
    <mergeCell ref="A22:F22"/>
    <mergeCell ref="A31:F31"/>
    <mergeCell ref="A40:F40"/>
    <mergeCell ref="A42:F42"/>
  </mergeCells>
  <hyperlinks>
    <hyperlink ref="A42" r:id="rId1" display="The Mountain Path Academy · Prof. V. Ravichandran ·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The Mountain Path Academy · themountainpathacademy.com · 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8878"/>
    <pageSetUpPr fitToPage="true"/>
  </sheetPr>
  <dimension ref="A1:F1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6"/>
    <col collapsed="false" customWidth="true" hidden="false" outlineLevel="0" max="3" min="3" style="0" width="16"/>
    <col collapsed="false" customWidth="true" hidden="false" outlineLevel="0" max="4" min="4" style="0" width="54"/>
    <col collapsed="false" customWidth="true" hidden="false" outlineLevel="0" max="6" min="5" style="0" width="4"/>
  </cols>
  <sheetData>
    <row r="1" customFormat="false" ht="30" hidden="false" customHeight="true" outlineLevel="0" collapsed="false">
      <c r="A1" s="19" t="s">
        <v>349</v>
      </c>
      <c r="B1" s="19"/>
      <c r="C1" s="19"/>
      <c r="D1" s="19"/>
      <c r="E1" s="19"/>
      <c r="F1" s="19"/>
    </row>
    <row r="2" customFormat="false" ht="19.5" hidden="false" customHeight="true" outlineLevel="0" collapsed="false">
      <c r="A2" s="20" t="s">
        <v>350</v>
      </c>
      <c r="B2" s="20"/>
      <c r="C2" s="20"/>
      <c r="D2" s="20"/>
      <c r="E2" s="20"/>
      <c r="F2" s="20"/>
    </row>
    <row r="4" customFormat="false" ht="21.75" hidden="false" customHeight="true" outlineLevel="0" collapsed="false">
      <c r="A4" s="23" t="s">
        <v>351</v>
      </c>
      <c r="B4" s="23"/>
      <c r="C4" s="23"/>
      <c r="D4" s="23"/>
    </row>
    <row r="5" customFormat="false" ht="15" hidden="false" customHeight="false" outlineLevel="0" collapsed="false">
      <c r="A5" s="59" t="s">
        <v>352</v>
      </c>
      <c r="B5" s="60" t="s">
        <v>353</v>
      </c>
      <c r="C5" s="59" t="s">
        <v>354</v>
      </c>
      <c r="D5" s="59" t="s">
        <v>173</v>
      </c>
    </row>
    <row r="6" customFormat="false" ht="15" hidden="false" customHeight="false" outlineLevel="0" collapsed="false">
      <c r="A6" s="61" t="n">
        <v>1</v>
      </c>
      <c r="B6" s="24" t="s">
        <v>355</v>
      </c>
      <c r="C6" s="32" t="n">
        <v>900</v>
      </c>
      <c r="D6" s="27" t="s">
        <v>356</v>
      </c>
    </row>
    <row r="7" customFormat="false" ht="15" hidden="false" customHeight="false" outlineLevel="0" collapsed="false">
      <c r="A7" s="61" t="n">
        <v>2</v>
      </c>
      <c r="B7" s="24" t="s">
        <v>357</v>
      </c>
      <c r="C7" s="32" t="n">
        <v>200</v>
      </c>
      <c r="D7" s="27" t="s">
        <v>356</v>
      </c>
    </row>
    <row r="8" customFormat="false" ht="15" hidden="false" customHeight="false" outlineLevel="0" collapsed="false">
      <c r="A8" s="61" t="n">
        <v>3</v>
      </c>
      <c r="B8" s="24" t="s">
        <v>358</v>
      </c>
      <c r="C8" s="32" t="n">
        <v>600</v>
      </c>
      <c r="D8" s="27" t="s">
        <v>356</v>
      </c>
    </row>
    <row r="9" customFormat="false" ht="15" hidden="false" customHeight="false" outlineLevel="0" collapsed="false">
      <c r="A9" s="61" t="n">
        <v>4</v>
      </c>
      <c r="B9" s="24" t="s">
        <v>359</v>
      </c>
      <c r="C9" s="32" t="n">
        <v>50</v>
      </c>
      <c r="D9" s="27" t="s">
        <v>356</v>
      </c>
    </row>
    <row r="10" customFormat="false" ht="15" hidden="false" customHeight="false" outlineLevel="0" collapsed="false">
      <c r="A10" s="61" t="n">
        <v>5</v>
      </c>
      <c r="B10" s="24" t="s">
        <v>99</v>
      </c>
      <c r="C10" s="41" t="n">
        <f aca="false">C6+C7-C8-C9</f>
        <v>450</v>
      </c>
      <c r="D10" s="27" t="s">
        <v>360</v>
      </c>
    </row>
    <row r="11" customFormat="false" ht="30" hidden="false" customHeight="true" outlineLevel="0" collapsed="false">
      <c r="A11" s="62" t="s">
        <v>361</v>
      </c>
      <c r="B11" s="62"/>
      <c r="C11" s="62"/>
      <c r="D11" s="62"/>
    </row>
    <row r="13" customFormat="false" ht="21.75" hidden="false" customHeight="true" outlineLevel="0" collapsed="false">
      <c r="A13" s="23" t="s">
        <v>362</v>
      </c>
      <c r="B13" s="23"/>
      <c r="C13" s="23"/>
      <c r="D13" s="23"/>
    </row>
    <row r="14" customFormat="false" ht="15" hidden="false" customHeight="false" outlineLevel="0" collapsed="false">
      <c r="A14" s="59" t="s">
        <v>352</v>
      </c>
      <c r="B14" s="60" t="s">
        <v>353</v>
      </c>
      <c r="C14" s="59" t="s">
        <v>354</v>
      </c>
      <c r="D14" s="59" t="s">
        <v>173</v>
      </c>
    </row>
    <row r="15" customFormat="false" ht="15" hidden="false" customHeight="false" outlineLevel="0" collapsed="false">
      <c r="A15" s="61" t="n">
        <v>1</v>
      </c>
      <c r="B15" s="24" t="s">
        <v>363</v>
      </c>
      <c r="C15" s="32" t="n">
        <v>30</v>
      </c>
      <c r="D15" s="27" t="s">
        <v>356</v>
      </c>
    </row>
    <row r="16" customFormat="false" ht="15" hidden="false" customHeight="false" outlineLevel="0" collapsed="false">
      <c r="A16" s="61" t="n">
        <v>2</v>
      </c>
      <c r="B16" s="24" t="s">
        <v>364</v>
      </c>
      <c r="C16" s="32" t="n">
        <v>3000</v>
      </c>
      <c r="D16" s="27" t="s">
        <v>356</v>
      </c>
    </row>
    <row r="17" customFormat="false" ht="15" hidden="false" customHeight="false" outlineLevel="0" collapsed="false">
      <c r="A17" s="61" t="n">
        <v>3</v>
      </c>
      <c r="B17" s="24" t="s">
        <v>206</v>
      </c>
      <c r="C17" s="33" t="n">
        <f aca="false">C15*4</f>
        <v>120</v>
      </c>
      <c r="D17" s="27" t="s">
        <v>207</v>
      </c>
    </row>
    <row r="18" customFormat="false" ht="15" hidden="false" customHeight="false" outlineLevel="0" collapsed="false">
      <c r="A18" s="61" t="n">
        <v>4</v>
      </c>
      <c r="B18" s="24" t="s">
        <v>365</v>
      </c>
      <c r="C18" s="44" t="n">
        <f aca="false">C17/C16</f>
        <v>0.04</v>
      </c>
      <c r="D18" s="27" t="s">
        <v>366</v>
      </c>
    </row>
    <row r="19" customFormat="false" ht="30" hidden="false" customHeight="true" outlineLevel="0" collapsed="false">
      <c r="A19" s="62" t="s">
        <v>367</v>
      </c>
      <c r="B19" s="62"/>
      <c r="C19" s="62"/>
      <c r="D19" s="62"/>
    </row>
    <row r="21" customFormat="false" ht="21.75" hidden="false" customHeight="true" outlineLevel="0" collapsed="false">
      <c r="A21" s="23" t="s">
        <v>368</v>
      </c>
      <c r="B21" s="23"/>
      <c r="C21" s="23"/>
      <c r="D21" s="23"/>
    </row>
    <row r="22" customFormat="false" ht="15" hidden="false" customHeight="false" outlineLevel="0" collapsed="false">
      <c r="A22" s="59" t="s">
        <v>352</v>
      </c>
      <c r="B22" s="60" t="s">
        <v>353</v>
      </c>
      <c r="C22" s="59" t="s">
        <v>354</v>
      </c>
      <c r="D22" s="59" t="s">
        <v>173</v>
      </c>
    </row>
    <row r="23" customFormat="false" ht="15" hidden="false" customHeight="false" outlineLevel="0" collapsed="false">
      <c r="A23" s="61" t="n">
        <v>1</v>
      </c>
      <c r="B23" s="24" t="s">
        <v>369</v>
      </c>
      <c r="C23" s="32" t="n">
        <v>100</v>
      </c>
      <c r="D23" s="27" t="s">
        <v>356</v>
      </c>
    </row>
    <row r="24" customFormat="false" ht="15" hidden="false" customHeight="false" outlineLevel="0" collapsed="false">
      <c r="A24" s="61" t="n">
        <v>2</v>
      </c>
      <c r="B24" s="24" t="s">
        <v>218</v>
      </c>
      <c r="C24" s="32" t="n">
        <v>90</v>
      </c>
      <c r="D24" s="27" t="s">
        <v>356</v>
      </c>
    </row>
    <row r="25" customFormat="false" ht="15" hidden="false" customHeight="false" outlineLevel="0" collapsed="false">
      <c r="A25" s="61" t="n">
        <v>3</v>
      </c>
      <c r="B25" s="24" t="s">
        <v>370</v>
      </c>
      <c r="C25" s="34" t="n">
        <v>0.09</v>
      </c>
      <c r="D25" s="27" t="s">
        <v>356</v>
      </c>
    </row>
    <row r="26" customFormat="false" ht="15" hidden="false" customHeight="false" outlineLevel="0" collapsed="false">
      <c r="A26" s="61" t="n">
        <v>4</v>
      </c>
      <c r="B26" s="24" t="s">
        <v>371</v>
      </c>
      <c r="C26" s="34" t="n">
        <v>0.06</v>
      </c>
      <c r="D26" s="27" t="s">
        <v>356</v>
      </c>
    </row>
    <row r="27" customFormat="false" ht="15" hidden="false" customHeight="false" outlineLevel="0" collapsed="false">
      <c r="A27" s="61" t="n">
        <v>5</v>
      </c>
      <c r="B27" s="24" t="s">
        <v>372</v>
      </c>
      <c r="C27" s="34" t="n">
        <v>0.005</v>
      </c>
      <c r="D27" s="27" t="s">
        <v>356</v>
      </c>
    </row>
    <row r="28" customFormat="false" ht="15" hidden="false" customHeight="false" outlineLevel="0" collapsed="false">
      <c r="A28" s="61" t="n">
        <v>6</v>
      </c>
      <c r="B28" s="24" t="s">
        <v>373</v>
      </c>
      <c r="C28" s="37" t="n">
        <f aca="false">(C23*C25-C24*C26)/C23</f>
        <v>0.036</v>
      </c>
      <c r="D28" s="27" t="s">
        <v>374</v>
      </c>
    </row>
    <row r="29" customFormat="false" ht="15" hidden="false" customHeight="false" outlineLevel="0" collapsed="false">
      <c r="A29" s="61" t="n">
        <v>7</v>
      </c>
      <c r="B29" s="24" t="s">
        <v>375</v>
      </c>
      <c r="C29" s="37" t="n">
        <f aca="false">(C23*(C25-C27)-C24*C26)/C23</f>
        <v>0.031</v>
      </c>
      <c r="D29" s="27" t="s">
        <v>376</v>
      </c>
    </row>
    <row r="30" customFormat="false" ht="15" hidden="false" customHeight="false" outlineLevel="0" collapsed="false">
      <c r="A30" s="61" t="n">
        <v>8</v>
      </c>
      <c r="B30" s="24" t="s">
        <v>377</v>
      </c>
      <c r="C30" s="44" t="n">
        <f aca="false">(C23*(C25-C27)-C24*(C26-C27))/C23</f>
        <v>0.0355</v>
      </c>
      <c r="D30" s="27" t="s">
        <v>378</v>
      </c>
    </row>
    <row r="31" customFormat="false" ht="30" hidden="false" customHeight="true" outlineLevel="0" collapsed="false">
      <c r="A31" s="62" t="s">
        <v>379</v>
      </c>
      <c r="B31" s="62"/>
      <c r="C31" s="62"/>
      <c r="D31" s="62"/>
    </row>
    <row r="33" customFormat="false" ht="21.75" hidden="false" customHeight="true" outlineLevel="0" collapsed="false">
      <c r="A33" s="23" t="s">
        <v>380</v>
      </c>
      <c r="B33" s="23"/>
      <c r="C33" s="23"/>
      <c r="D33" s="23"/>
    </row>
    <row r="34" customFormat="false" ht="15" hidden="false" customHeight="false" outlineLevel="0" collapsed="false">
      <c r="A34" s="59" t="s">
        <v>352</v>
      </c>
      <c r="B34" s="60" t="s">
        <v>353</v>
      </c>
      <c r="C34" s="59" t="s">
        <v>354</v>
      </c>
      <c r="D34" s="59" t="s">
        <v>173</v>
      </c>
    </row>
    <row r="35" customFormat="false" ht="15" hidden="false" customHeight="false" outlineLevel="0" collapsed="false">
      <c r="A35" s="61" t="n">
        <v>1</v>
      </c>
      <c r="B35" s="24" t="s">
        <v>381</v>
      </c>
      <c r="C35" s="32" t="n">
        <v>80</v>
      </c>
      <c r="D35" s="27" t="s">
        <v>356</v>
      </c>
    </row>
    <row r="36" customFormat="false" ht="15" hidden="false" customHeight="false" outlineLevel="0" collapsed="false">
      <c r="A36" s="61" t="n">
        <v>2</v>
      </c>
      <c r="B36" s="24" t="s">
        <v>382</v>
      </c>
      <c r="C36" s="32" t="n">
        <v>20</v>
      </c>
      <c r="D36" s="27" t="s">
        <v>356</v>
      </c>
    </row>
    <row r="37" customFormat="false" ht="15" hidden="false" customHeight="false" outlineLevel="0" collapsed="false">
      <c r="A37" s="61" t="n">
        <v>3</v>
      </c>
      <c r="B37" s="24" t="s">
        <v>383</v>
      </c>
      <c r="C37" s="32" t="n">
        <v>99</v>
      </c>
      <c r="D37" s="27" t="s">
        <v>356</v>
      </c>
    </row>
    <row r="38" customFormat="false" ht="15" hidden="false" customHeight="false" outlineLevel="0" collapsed="false">
      <c r="A38" s="61" t="n">
        <v>4</v>
      </c>
      <c r="B38" s="24" t="s">
        <v>384</v>
      </c>
      <c r="C38" s="32" t="n">
        <v>5</v>
      </c>
      <c r="D38" s="27" t="s">
        <v>356</v>
      </c>
    </row>
    <row r="39" customFormat="false" ht="15" hidden="false" customHeight="false" outlineLevel="0" collapsed="false">
      <c r="A39" s="61" t="n">
        <v>5</v>
      </c>
      <c r="B39" s="24" t="s">
        <v>385</v>
      </c>
      <c r="C39" s="35" t="n">
        <f aca="false">(C37+C38)/(C35+C36)-1</f>
        <v>0.04</v>
      </c>
      <c r="D39" s="27" t="s">
        <v>386</v>
      </c>
    </row>
    <row r="40" customFormat="false" ht="15" hidden="false" customHeight="false" outlineLevel="0" collapsed="false">
      <c r="A40" s="61" t="n">
        <v>6</v>
      </c>
      <c r="B40" s="24" t="s">
        <v>387</v>
      </c>
      <c r="C40" s="42" t="n">
        <f aca="false">C37/C35-1</f>
        <v>0.2375</v>
      </c>
      <c r="D40" s="27" t="s">
        <v>388</v>
      </c>
    </row>
    <row r="41" customFormat="false" ht="30" hidden="false" customHeight="true" outlineLevel="0" collapsed="false">
      <c r="A41" s="62" t="s">
        <v>389</v>
      </c>
      <c r="B41" s="62"/>
      <c r="C41" s="62"/>
      <c r="D41" s="62"/>
    </row>
    <row r="43" customFormat="false" ht="21.75" hidden="false" customHeight="true" outlineLevel="0" collapsed="false">
      <c r="A43" s="23" t="s">
        <v>390</v>
      </c>
      <c r="B43" s="23"/>
      <c r="C43" s="23"/>
      <c r="D43" s="23"/>
    </row>
    <row r="44" customFormat="false" ht="15" hidden="false" customHeight="false" outlineLevel="0" collapsed="false">
      <c r="A44" s="59" t="s">
        <v>352</v>
      </c>
      <c r="B44" s="60" t="s">
        <v>353</v>
      </c>
      <c r="C44" s="59" t="s">
        <v>354</v>
      </c>
      <c r="D44" s="59" t="s">
        <v>173</v>
      </c>
    </row>
    <row r="45" customFormat="false" ht="15" hidden="false" customHeight="false" outlineLevel="0" collapsed="false">
      <c r="A45" s="61" t="n">
        <v>1</v>
      </c>
      <c r="B45" s="24" t="s">
        <v>391</v>
      </c>
      <c r="C45" s="32" t="n">
        <v>100</v>
      </c>
      <c r="D45" s="27" t="s">
        <v>356</v>
      </c>
    </row>
    <row r="46" customFormat="false" ht="15" hidden="false" customHeight="false" outlineLevel="0" collapsed="false">
      <c r="A46" s="61" t="n">
        <v>2</v>
      </c>
      <c r="B46" s="24" t="s">
        <v>392</v>
      </c>
      <c r="C46" s="32" t="n">
        <v>40</v>
      </c>
      <c r="D46" s="27" t="s">
        <v>356</v>
      </c>
    </row>
    <row r="47" customFormat="false" ht="15" hidden="false" customHeight="false" outlineLevel="0" collapsed="false">
      <c r="A47" s="61" t="n">
        <v>3</v>
      </c>
      <c r="B47" s="24" t="s">
        <v>393</v>
      </c>
      <c r="C47" s="32" t="n">
        <v>112</v>
      </c>
      <c r="D47" s="27" t="s">
        <v>356</v>
      </c>
    </row>
    <row r="48" customFormat="false" ht="15" hidden="false" customHeight="false" outlineLevel="0" collapsed="false">
      <c r="A48" s="61" t="n">
        <v>4</v>
      </c>
      <c r="B48" s="24" t="s">
        <v>394</v>
      </c>
      <c r="C48" s="32" t="n">
        <v>44</v>
      </c>
      <c r="D48" s="27" t="s">
        <v>356</v>
      </c>
    </row>
    <row r="49" customFormat="false" ht="15" hidden="false" customHeight="false" outlineLevel="0" collapsed="false">
      <c r="A49" s="61" t="n">
        <v>5</v>
      </c>
      <c r="B49" s="24" t="s">
        <v>395</v>
      </c>
      <c r="C49" s="35" t="n">
        <f aca="false">C46/C45</f>
        <v>0.4</v>
      </c>
      <c r="D49" s="27" t="s">
        <v>396</v>
      </c>
    </row>
    <row r="50" customFormat="false" ht="15" hidden="false" customHeight="false" outlineLevel="0" collapsed="false">
      <c r="A50" s="61" t="n">
        <v>6</v>
      </c>
      <c r="B50" s="24" t="s">
        <v>397</v>
      </c>
      <c r="C50" s="35" t="n">
        <f aca="false">C48/C47</f>
        <v>0.392857142857143</v>
      </c>
      <c r="D50" s="27" t="s">
        <v>396</v>
      </c>
    </row>
    <row r="51" customFormat="false" ht="15" hidden="false" customHeight="false" outlineLevel="0" collapsed="false">
      <c r="A51" s="61" t="n">
        <v>7</v>
      </c>
      <c r="B51" s="24" t="s">
        <v>398</v>
      </c>
      <c r="C51" s="43" t="n">
        <f aca="false">((C47/C45-1)-(C48/C46-1))*100</f>
        <v>2</v>
      </c>
      <c r="D51" s="27" t="s">
        <v>399</v>
      </c>
    </row>
    <row r="52" customFormat="false" ht="30" hidden="false" customHeight="true" outlineLevel="0" collapsed="false">
      <c r="A52" s="62" t="s">
        <v>400</v>
      </c>
      <c r="B52" s="62"/>
      <c r="C52" s="62"/>
      <c r="D52" s="62"/>
    </row>
    <row r="54" customFormat="false" ht="21.75" hidden="false" customHeight="true" outlineLevel="0" collapsed="false">
      <c r="A54" s="23" t="s">
        <v>401</v>
      </c>
      <c r="B54" s="23"/>
      <c r="C54" s="23"/>
      <c r="D54" s="23"/>
    </row>
    <row r="55" customFormat="false" ht="15" hidden="false" customHeight="false" outlineLevel="0" collapsed="false">
      <c r="A55" s="59" t="s">
        <v>352</v>
      </c>
      <c r="B55" s="60" t="s">
        <v>353</v>
      </c>
      <c r="C55" s="59" t="s">
        <v>354</v>
      </c>
      <c r="D55" s="59" t="s">
        <v>173</v>
      </c>
    </row>
    <row r="56" customFormat="false" ht="15" hidden="false" customHeight="false" outlineLevel="0" collapsed="false">
      <c r="A56" s="61" t="n">
        <v>1</v>
      </c>
      <c r="B56" s="24" t="s">
        <v>402</v>
      </c>
      <c r="C56" s="32" t="n">
        <v>100</v>
      </c>
      <c r="D56" s="27" t="s">
        <v>356</v>
      </c>
    </row>
    <row r="57" customFormat="false" ht="15" hidden="false" customHeight="false" outlineLevel="0" collapsed="false">
      <c r="A57" s="61" t="n">
        <v>2</v>
      </c>
      <c r="B57" s="24" t="s">
        <v>403</v>
      </c>
      <c r="C57" s="32" t="n">
        <v>15</v>
      </c>
      <c r="D57" s="27" t="s">
        <v>356</v>
      </c>
    </row>
    <row r="58" customFormat="false" ht="15" hidden="false" customHeight="false" outlineLevel="0" collapsed="false">
      <c r="A58" s="61" t="n">
        <v>3</v>
      </c>
      <c r="B58" s="24" t="s">
        <v>404</v>
      </c>
      <c r="C58" s="63" t="n">
        <v>3</v>
      </c>
      <c r="D58" s="27" t="s">
        <v>356</v>
      </c>
    </row>
    <row r="59" customFormat="false" ht="15" hidden="false" customHeight="false" outlineLevel="0" collapsed="false">
      <c r="A59" s="61" t="n">
        <v>4</v>
      </c>
      <c r="B59" s="24" t="s">
        <v>405</v>
      </c>
      <c r="C59" s="33" t="n">
        <f aca="false">C56-C57</f>
        <v>85</v>
      </c>
      <c r="D59" s="27" t="s">
        <v>185</v>
      </c>
    </row>
    <row r="60" customFormat="false" ht="15" hidden="false" customHeight="false" outlineLevel="0" collapsed="false">
      <c r="A60" s="61" t="n">
        <v>5</v>
      </c>
      <c r="B60" s="24" t="s">
        <v>406</v>
      </c>
      <c r="C60" s="33" t="n">
        <f aca="false">C56-C57*C58</f>
        <v>55</v>
      </c>
      <c r="D60" s="27" t="s">
        <v>407</v>
      </c>
    </row>
    <row r="61" customFormat="false" ht="23.85" hidden="false" customHeight="false" outlineLevel="0" collapsed="false">
      <c r="A61" s="61" t="n">
        <v>6</v>
      </c>
      <c r="B61" s="24" t="s">
        <v>408</v>
      </c>
      <c r="C61" s="64" t="n">
        <f aca="false">C56/C57</f>
        <v>6.66666666666667</v>
      </c>
      <c r="D61" s="27" t="s">
        <v>409</v>
      </c>
    </row>
    <row r="62" customFormat="false" ht="30" hidden="false" customHeight="true" outlineLevel="0" collapsed="false">
      <c r="A62" s="62" t="s">
        <v>410</v>
      </c>
      <c r="B62" s="62"/>
      <c r="C62" s="62"/>
      <c r="D62" s="62"/>
    </row>
    <row r="64" customFormat="false" ht="21.75" hidden="false" customHeight="true" outlineLevel="0" collapsed="false">
      <c r="A64" s="23" t="s">
        <v>411</v>
      </c>
      <c r="B64" s="23"/>
      <c r="C64" s="23"/>
      <c r="D64" s="23"/>
    </row>
    <row r="65" customFormat="false" ht="15" hidden="false" customHeight="false" outlineLevel="0" collapsed="false">
      <c r="A65" s="59" t="s">
        <v>352</v>
      </c>
      <c r="B65" s="60" t="s">
        <v>353</v>
      </c>
      <c r="C65" s="59" t="s">
        <v>354</v>
      </c>
      <c r="D65" s="59" t="s">
        <v>173</v>
      </c>
    </row>
    <row r="66" customFormat="false" ht="15" hidden="false" customHeight="false" outlineLevel="0" collapsed="false">
      <c r="A66" s="61" t="n">
        <v>1</v>
      </c>
      <c r="B66" s="24" t="s">
        <v>369</v>
      </c>
      <c r="C66" s="32" t="n">
        <v>70</v>
      </c>
      <c r="D66" s="27" t="s">
        <v>356</v>
      </c>
    </row>
    <row r="67" customFormat="false" ht="15" hidden="false" customHeight="false" outlineLevel="0" collapsed="false">
      <c r="A67" s="61" t="n">
        <v>2</v>
      </c>
      <c r="B67" s="24" t="s">
        <v>218</v>
      </c>
      <c r="C67" s="32" t="n">
        <v>80</v>
      </c>
      <c r="D67" s="27" t="s">
        <v>356</v>
      </c>
    </row>
    <row r="68" customFormat="false" ht="15" hidden="false" customHeight="false" outlineLevel="0" collapsed="false">
      <c r="A68" s="61" t="n">
        <v>3</v>
      </c>
      <c r="B68" s="24" t="s">
        <v>412</v>
      </c>
      <c r="C68" s="34" t="n">
        <v>0.95</v>
      </c>
      <c r="D68" s="27" t="s">
        <v>356</v>
      </c>
    </row>
    <row r="69" customFormat="false" ht="15" hidden="false" customHeight="false" outlineLevel="0" collapsed="false">
      <c r="A69" s="61" t="n">
        <v>4</v>
      </c>
      <c r="B69" s="24" t="s">
        <v>413</v>
      </c>
      <c r="C69" s="35" t="n">
        <f aca="false">C66/C67</f>
        <v>0.875</v>
      </c>
      <c r="D69" s="27" t="s">
        <v>414</v>
      </c>
    </row>
    <row r="70" customFormat="false" ht="15" hidden="false" customHeight="false" outlineLevel="0" collapsed="false">
      <c r="A70" s="61" t="n">
        <v>5</v>
      </c>
      <c r="B70" s="24" t="s">
        <v>415</v>
      </c>
      <c r="C70" s="41" t="n">
        <f aca="false">C68*C67-C66</f>
        <v>6</v>
      </c>
      <c r="D70" s="27" t="s">
        <v>416</v>
      </c>
    </row>
    <row r="71" customFormat="false" ht="30" hidden="false" customHeight="true" outlineLevel="0" collapsed="false">
      <c r="A71" s="62" t="s">
        <v>417</v>
      </c>
      <c r="B71" s="62"/>
      <c r="C71" s="62"/>
      <c r="D71" s="62"/>
    </row>
    <row r="73" customFormat="false" ht="21.75" hidden="false" customHeight="true" outlineLevel="0" collapsed="false">
      <c r="A73" s="23" t="s">
        <v>418</v>
      </c>
      <c r="B73" s="23"/>
      <c r="C73" s="23"/>
      <c r="D73" s="23"/>
    </row>
    <row r="74" customFormat="false" ht="15" hidden="false" customHeight="false" outlineLevel="0" collapsed="false">
      <c r="A74" s="59" t="s">
        <v>352</v>
      </c>
      <c r="B74" s="60" t="s">
        <v>353</v>
      </c>
      <c r="C74" s="59" t="s">
        <v>354</v>
      </c>
      <c r="D74" s="59" t="s">
        <v>173</v>
      </c>
    </row>
    <row r="75" customFormat="false" ht="15" hidden="false" customHeight="false" outlineLevel="0" collapsed="false">
      <c r="A75" s="61" t="n">
        <v>1</v>
      </c>
      <c r="B75" s="24" t="s">
        <v>419</v>
      </c>
      <c r="C75" s="32" t="n">
        <v>1000</v>
      </c>
      <c r="D75" s="27" t="s">
        <v>356</v>
      </c>
    </row>
    <row r="76" customFormat="false" ht="15" hidden="false" customHeight="false" outlineLevel="0" collapsed="false">
      <c r="A76" s="61" t="n">
        <v>2</v>
      </c>
      <c r="B76" s="24" t="s">
        <v>420</v>
      </c>
      <c r="C76" s="32" t="n">
        <v>20</v>
      </c>
      <c r="D76" s="27" t="s">
        <v>356</v>
      </c>
    </row>
    <row r="77" customFormat="false" ht="15" hidden="false" customHeight="false" outlineLevel="0" collapsed="false">
      <c r="A77" s="61" t="n">
        <v>3</v>
      </c>
      <c r="B77" s="24" t="s">
        <v>421</v>
      </c>
      <c r="C77" s="32" t="n">
        <v>14</v>
      </c>
      <c r="D77" s="27" t="s">
        <v>356</v>
      </c>
    </row>
    <row r="78" customFormat="false" ht="15" hidden="false" customHeight="false" outlineLevel="0" collapsed="false">
      <c r="A78" s="61" t="n">
        <v>4</v>
      </c>
      <c r="B78" s="24" t="s">
        <v>77</v>
      </c>
      <c r="C78" s="37" t="n">
        <f aca="false">C76/C75</f>
        <v>0.02</v>
      </c>
      <c r="D78" s="27" t="s">
        <v>422</v>
      </c>
    </row>
    <row r="79" customFormat="false" ht="15" hidden="false" customHeight="false" outlineLevel="0" collapsed="false">
      <c r="A79" s="61" t="n">
        <v>5</v>
      </c>
      <c r="B79" s="24" t="s">
        <v>315</v>
      </c>
      <c r="C79" s="33" t="n">
        <f aca="false">C76-C77</f>
        <v>6</v>
      </c>
      <c r="D79" s="27" t="s">
        <v>423</v>
      </c>
    </row>
    <row r="80" customFormat="false" ht="15" hidden="false" customHeight="false" outlineLevel="0" collapsed="false">
      <c r="A80" s="61" t="n">
        <v>6</v>
      </c>
      <c r="B80" s="24" t="s">
        <v>424</v>
      </c>
      <c r="C80" s="33" t="n">
        <f aca="false">C75-C77</f>
        <v>986</v>
      </c>
      <c r="D80" s="27" t="s">
        <v>425</v>
      </c>
    </row>
    <row r="81" customFormat="false" ht="15" hidden="false" customHeight="false" outlineLevel="0" collapsed="false">
      <c r="A81" s="61" t="n">
        <v>7</v>
      </c>
      <c r="B81" s="24" t="s">
        <v>78</v>
      </c>
      <c r="C81" s="37" t="n">
        <f aca="false">C79/C80</f>
        <v>0.00608519269776876</v>
      </c>
      <c r="D81" s="27" t="s">
        <v>426</v>
      </c>
    </row>
    <row r="82" customFormat="false" ht="15" hidden="false" customHeight="false" outlineLevel="0" collapsed="false">
      <c r="A82" s="61" t="n">
        <v>8</v>
      </c>
      <c r="B82" s="24" t="s">
        <v>79</v>
      </c>
      <c r="C82" s="42" t="n">
        <f aca="false">C77/C76</f>
        <v>0.7</v>
      </c>
      <c r="D82" s="27" t="s">
        <v>427</v>
      </c>
    </row>
    <row r="83" customFormat="false" ht="30" hidden="false" customHeight="true" outlineLevel="0" collapsed="false">
      <c r="A83" s="62" t="s">
        <v>428</v>
      </c>
      <c r="B83" s="62"/>
      <c r="C83" s="62"/>
      <c r="D83" s="62"/>
    </row>
    <row r="85" customFormat="false" ht="21.75" hidden="false" customHeight="true" outlineLevel="0" collapsed="false">
      <c r="A85" s="23" t="s">
        <v>429</v>
      </c>
      <c r="B85" s="23"/>
      <c r="C85" s="23"/>
      <c r="D85" s="23"/>
    </row>
    <row r="86" customFormat="false" ht="15" hidden="false" customHeight="false" outlineLevel="0" collapsed="false">
      <c r="A86" s="59" t="s">
        <v>352</v>
      </c>
      <c r="B86" s="60" t="s">
        <v>353</v>
      </c>
      <c r="C86" s="59" t="s">
        <v>354</v>
      </c>
      <c r="D86" s="59" t="s">
        <v>173</v>
      </c>
    </row>
    <row r="87" customFormat="false" ht="15" hidden="false" customHeight="false" outlineLevel="0" collapsed="false">
      <c r="A87" s="61" t="n">
        <v>1</v>
      </c>
      <c r="B87" s="24" t="s">
        <v>430</v>
      </c>
      <c r="C87" s="65" t="n">
        <v>2.5</v>
      </c>
      <c r="D87" s="27" t="s">
        <v>356</v>
      </c>
    </row>
    <row r="88" customFormat="false" ht="15" hidden="false" customHeight="false" outlineLevel="0" collapsed="false">
      <c r="A88" s="61" t="n">
        <v>2</v>
      </c>
      <c r="B88" s="24" t="s">
        <v>431</v>
      </c>
      <c r="C88" s="32" t="n">
        <v>1000</v>
      </c>
      <c r="D88" s="27" t="s">
        <v>356</v>
      </c>
    </row>
    <row r="89" customFormat="false" ht="15" hidden="false" customHeight="false" outlineLevel="0" collapsed="false">
      <c r="A89" s="61" t="n">
        <v>3</v>
      </c>
      <c r="B89" s="24" t="s">
        <v>365</v>
      </c>
      <c r="C89" s="34" t="n">
        <v>0.03</v>
      </c>
      <c r="D89" s="27" t="s">
        <v>356</v>
      </c>
    </row>
    <row r="90" customFormat="false" ht="15" hidden="false" customHeight="false" outlineLevel="0" collapsed="false">
      <c r="A90" s="61" t="n">
        <v>4</v>
      </c>
      <c r="B90" s="24" t="s">
        <v>80</v>
      </c>
      <c r="C90" s="37" t="n">
        <f aca="false">C87*4/C88</f>
        <v>0.01</v>
      </c>
      <c r="D90" s="27" t="s">
        <v>432</v>
      </c>
    </row>
    <row r="91" customFormat="false" ht="15" hidden="false" customHeight="false" outlineLevel="0" collapsed="false">
      <c r="A91" s="61" t="n">
        <v>5</v>
      </c>
      <c r="B91" s="24" t="s">
        <v>433</v>
      </c>
      <c r="C91" s="42" t="n">
        <f aca="false">C90/C89</f>
        <v>0.333333333333333</v>
      </c>
      <c r="D91" s="27" t="s">
        <v>434</v>
      </c>
    </row>
    <row r="92" customFormat="false" ht="30" hidden="false" customHeight="true" outlineLevel="0" collapsed="false">
      <c r="A92" s="62" t="s">
        <v>435</v>
      </c>
      <c r="B92" s="62"/>
      <c r="C92" s="62"/>
      <c r="D92" s="62"/>
    </row>
    <row r="94" customFormat="false" ht="21.75" hidden="false" customHeight="true" outlineLevel="0" collapsed="false">
      <c r="A94" s="23" t="s">
        <v>436</v>
      </c>
      <c r="B94" s="23"/>
      <c r="C94" s="23"/>
      <c r="D94" s="23"/>
    </row>
    <row r="95" customFormat="false" ht="15" hidden="false" customHeight="false" outlineLevel="0" collapsed="false">
      <c r="A95" s="59" t="s">
        <v>352</v>
      </c>
      <c r="B95" s="60" t="s">
        <v>353</v>
      </c>
      <c r="C95" s="59" t="s">
        <v>354</v>
      </c>
      <c r="D95" s="59" t="s">
        <v>173</v>
      </c>
    </row>
    <row r="96" customFormat="false" ht="15" hidden="false" customHeight="false" outlineLevel="0" collapsed="false">
      <c r="A96" s="61" t="n">
        <v>1</v>
      </c>
      <c r="B96" s="24" t="s">
        <v>437</v>
      </c>
      <c r="C96" s="32" t="n">
        <v>20</v>
      </c>
      <c r="D96" s="27" t="s">
        <v>356</v>
      </c>
    </row>
    <row r="97" customFormat="false" ht="15" hidden="false" customHeight="false" outlineLevel="0" collapsed="false">
      <c r="A97" s="61" t="n">
        <v>2</v>
      </c>
      <c r="B97" s="24" t="s">
        <v>438</v>
      </c>
      <c r="C97" s="32" t="n">
        <v>14</v>
      </c>
      <c r="D97" s="27" t="s">
        <v>356</v>
      </c>
    </row>
    <row r="98" customFormat="false" ht="15" hidden="false" customHeight="false" outlineLevel="0" collapsed="false">
      <c r="A98" s="61" t="n">
        <v>3</v>
      </c>
      <c r="B98" s="24" t="s">
        <v>439</v>
      </c>
      <c r="C98" s="32" t="n">
        <v>10</v>
      </c>
      <c r="D98" s="27" t="s">
        <v>356</v>
      </c>
    </row>
    <row r="99" customFormat="false" ht="15" hidden="false" customHeight="false" outlineLevel="0" collapsed="false">
      <c r="A99" s="61" t="n">
        <v>4</v>
      </c>
      <c r="B99" s="24" t="s">
        <v>440</v>
      </c>
      <c r="C99" s="32" t="n">
        <v>4</v>
      </c>
      <c r="D99" s="27" t="s">
        <v>356</v>
      </c>
    </row>
    <row r="100" customFormat="false" ht="15" hidden="false" customHeight="false" outlineLevel="0" collapsed="false">
      <c r="A100" s="61" t="n">
        <v>5</v>
      </c>
      <c r="B100" s="24" t="s">
        <v>441</v>
      </c>
      <c r="C100" s="35" t="n">
        <f aca="false">C97/C96</f>
        <v>0.7</v>
      </c>
      <c r="D100" s="27" t="s">
        <v>442</v>
      </c>
    </row>
    <row r="101" customFormat="false" ht="15" hidden="false" customHeight="false" outlineLevel="0" collapsed="false">
      <c r="A101" s="61" t="n">
        <v>6</v>
      </c>
      <c r="B101" s="24" t="s">
        <v>443</v>
      </c>
      <c r="C101" s="42" t="n">
        <f aca="false">(C97+C98+C99)/C96</f>
        <v>1.4</v>
      </c>
      <c r="D101" s="27" t="s">
        <v>444</v>
      </c>
    </row>
    <row r="102" customFormat="false" ht="30" hidden="false" customHeight="true" outlineLevel="0" collapsed="false">
      <c r="A102" s="62" t="s">
        <v>445</v>
      </c>
      <c r="B102" s="62"/>
      <c r="C102" s="62"/>
      <c r="D102" s="62"/>
    </row>
    <row r="104" customFormat="false" ht="21.75" hidden="false" customHeight="true" outlineLevel="0" collapsed="false">
      <c r="A104" s="23" t="s">
        <v>446</v>
      </c>
      <c r="B104" s="23"/>
      <c r="C104" s="23"/>
      <c r="D104" s="23"/>
    </row>
    <row r="105" customFormat="false" ht="15" hidden="false" customHeight="false" outlineLevel="0" collapsed="false">
      <c r="A105" s="59" t="s">
        <v>352</v>
      </c>
      <c r="B105" s="60" t="s">
        <v>353</v>
      </c>
      <c r="C105" s="59" t="s">
        <v>354</v>
      </c>
      <c r="D105" s="59" t="s">
        <v>173</v>
      </c>
    </row>
    <row r="106" customFormat="false" ht="15" hidden="false" customHeight="false" outlineLevel="0" collapsed="false">
      <c r="A106" s="61" t="n">
        <v>1</v>
      </c>
      <c r="B106" s="24" t="s">
        <v>447</v>
      </c>
      <c r="C106" s="32" t="n">
        <v>400</v>
      </c>
      <c r="D106" s="27" t="s">
        <v>356</v>
      </c>
    </row>
    <row r="107" customFormat="false" ht="15" hidden="false" customHeight="false" outlineLevel="0" collapsed="false">
      <c r="A107" s="61" t="n">
        <v>2</v>
      </c>
      <c r="B107" s="24" t="s">
        <v>448</v>
      </c>
      <c r="C107" s="34" t="n">
        <v>0.35</v>
      </c>
      <c r="D107" s="27" t="s">
        <v>449</v>
      </c>
    </row>
    <row r="108" customFormat="false" ht="15" hidden="false" customHeight="false" outlineLevel="0" collapsed="false">
      <c r="A108" s="61" t="n">
        <v>3</v>
      </c>
      <c r="B108" s="24" t="s">
        <v>450</v>
      </c>
      <c r="C108" s="32" t="n">
        <v>300</v>
      </c>
      <c r="D108" s="27" t="s">
        <v>356</v>
      </c>
    </row>
    <row r="109" customFormat="false" ht="15" hidden="false" customHeight="false" outlineLevel="0" collapsed="false">
      <c r="A109" s="61" t="n">
        <v>4</v>
      </c>
      <c r="B109" s="24" t="s">
        <v>451</v>
      </c>
      <c r="C109" s="34" t="n">
        <v>1</v>
      </c>
      <c r="D109" s="27" t="s">
        <v>449</v>
      </c>
    </row>
    <row r="110" customFormat="false" ht="15" hidden="false" customHeight="false" outlineLevel="0" collapsed="false">
      <c r="A110" s="61" t="n">
        <v>5</v>
      </c>
      <c r="B110" s="24" t="s">
        <v>452</v>
      </c>
      <c r="C110" s="32" t="n">
        <v>200</v>
      </c>
      <c r="D110" s="27" t="s">
        <v>356</v>
      </c>
    </row>
    <row r="111" customFormat="false" ht="15" hidden="false" customHeight="false" outlineLevel="0" collapsed="false">
      <c r="A111" s="61" t="n">
        <v>6</v>
      </c>
      <c r="B111" s="24" t="s">
        <v>453</v>
      </c>
      <c r="C111" s="34" t="n">
        <v>1.25</v>
      </c>
      <c r="D111" s="27" t="s">
        <v>449</v>
      </c>
    </row>
    <row r="112" customFormat="false" ht="15" hidden="false" customHeight="false" outlineLevel="0" collapsed="false">
      <c r="A112" s="61" t="n">
        <v>7</v>
      </c>
      <c r="B112" s="24" t="s">
        <v>454</v>
      </c>
      <c r="C112" s="32" t="n">
        <v>100</v>
      </c>
      <c r="D112" s="27" t="s">
        <v>356</v>
      </c>
    </row>
    <row r="113" customFormat="false" ht="15" hidden="false" customHeight="false" outlineLevel="0" collapsed="false">
      <c r="A113" s="61" t="n">
        <v>8</v>
      </c>
      <c r="B113" s="24" t="s">
        <v>455</v>
      </c>
      <c r="C113" s="34" t="n">
        <v>0</v>
      </c>
      <c r="D113" s="27" t="s">
        <v>449</v>
      </c>
    </row>
    <row r="114" customFormat="false" ht="15" hidden="false" customHeight="false" outlineLevel="0" collapsed="false">
      <c r="A114" s="61" t="n">
        <v>9</v>
      </c>
      <c r="B114" s="24" t="s">
        <v>456</v>
      </c>
      <c r="C114" s="32" t="n">
        <v>60</v>
      </c>
      <c r="D114" s="27" t="s">
        <v>356</v>
      </c>
    </row>
    <row r="115" customFormat="false" ht="15" hidden="false" customHeight="false" outlineLevel="0" collapsed="false">
      <c r="A115" s="61" t="n">
        <v>10</v>
      </c>
      <c r="B115" s="24" t="s">
        <v>457</v>
      </c>
      <c r="C115" s="32" t="n">
        <v>90</v>
      </c>
      <c r="D115" s="27" t="s">
        <v>356</v>
      </c>
    </row>
    <row r="116" customFormat="false" ht="15" hidden="false" customHeight="false" outlineLevel="0" collapsed="false">
      <c r="A116" s="61" t="n">
        <v>11</v>
      </c>
      <c r="B116" s="24" t="s">
        <v>458</v>
      </c>
      <c r="C116" s="32" t="n">
        <v>10</v>
      </c>
      <c r="D116" s="27" t="s">
        <v>356</v>
      </c>
    </row>
    <row r="117" customFormat="false" ht="15" hidden="false" customHeight="false" outlineLevel="0" collapsed="false">
      <c r="A117" s="61" t="n">
        <v>12</v>
      </c>
      <c r="B117" s="24" t="s">
        <v>459</v>
      </c>
      <c r="C117" s="32" t="n">
        <v>20</v>
      </c>
      <c r="D117" s="27" t="s">
        <v>356</v>
      </c>
    </row>
    <row r="118" customFormat="false" ht="15" hidden="false" customHeight="false" outlineLevel="0" collapsed="false">
      <c r="A118" s="61" t="n">
        <v>13</v>
      </c>
      <c r="B118" s="24" t="s">
        <v>460</v>
      </c>
      <c r="C118" s="33" t="n">
        <f aca="false">C106*C107+C108*C109+C110*C111+C112*C113+C114</f>
        <v>750</v>
      </c>
      <c r="D118" s="27" t="s">
        <v>461</v>
      </c>
    </row>
    <row r="119" customFormat="false" ht="15" hidden="false" customHeight="false" outlineLevel="0" collapsed="false">
      <c r="A119" s="61" t="n">
        <v>14</v>
      </c>
      <c r="B119" s="24" t="s">
        <v>82</v>
      </c>
      <c r="C119" s="35" t="n">
        <f aca="false">C115/C118</f>
        <v>0.12</v>
      </c>
      <c r="D119" s="27" t="s">
        <v>462</v>
      </c>
    </row>
    <row r="120" customFormat="false" ht="15" hidden="false" customHeight="false" outlineLevel="0" collapsed="false">
      <c r="A120" s="61" t="n">
        <v>15</v>
      </c>
      <c r="B120" s="24" t="s">
        <v>463</v>
      </c>
      <c r="C120" s="35" t="n">
        <f aca="false">(C115+C116)/C118</f>
        <v>0.133333333333333</v>
      </c>
      <c r="D120" s="27" t="s">
        <v>464</v>
      </c>
    </row>
    <row r="121" customFormat="false" ht="15" hidden="false" customHeight="false" outlineLevel="0" collapsed="false">
      <c r="A121" s="61" t="n">
        <v>16</v>
      </c>
      <c r="B121" s="24" t="s">
        <v>81</v>
      </c>
      <c r="C121" s="42" t="n">
        <f aca="false">(C115+C116+C117)/C118</f>
        <v>0.16</v>
      </c>
      <c r="D121" s="27" t="s">
        <v>465</v>
      </c>
    </row>
    <row r="122" customFormat="false" ht="30" hidden="false" customHeight="true" outlineLevel="0" collapsed="false">
      <c r="A122" s="62" t="s">
        <v>466</v>
      </c>
      <c r="B122" s="62"/>
      <c r="C122" s="62"/>
      <c r="D122" s="62"/>
    </row>
    <row r="124" customFormat="false" ht="21.75" hidden="false" customHeight="true" outlineLevel="0" collapsed="false">
      <c r="A124" s="23" t="s">
        <v>467</v>
      </c>
      <c r="B124" s="23"/>
      <c r="C124" s="23"/>
      <c r="D124" s="23"/>
    </row>
    <row r="125" customFormat="false" ht="15" hidden="false" customHeight="false" outlineLevel="0" collapsed="false">
      <c r="A125" s="59" t="s">
        <v>352</v>
      </c>
      <c r="B125" s="60" t="s">
        <v>353</v>
      </c>
      <c r="C125" s="59" t="s">
        <v>354</v>
      </c>
      <c r="D125" s="59" t="s">
        <v>173</v>
      </c>
    </row>
    <row r="126" customFormat="false" ht="15" hidden="false" customHeight="false" outlineLevel="0" collapsed="false">
      <c r="A126" s="61" t="n">
        <v>1</v>
      </c>
      <c r="B126" s="24" t="s">
        <v>468</v>
      </c>
      <c r="C126" s="32" t="n">
        <v>10000</v>
      </c>
      <c r="D126" s="27" t="s">
        <v>356</v>
      </c>
    </row>
    <row r="127" customFormat="false" ht="15" hidden="false" customHeight="false" outlineLevel="0" collapsed="false">
      <c r="A127" s="61" t="n">
        <v>2</v>
      </c>
      <c r="B127" s="24" t="s">
        <v>61</v>
      </c>
      <c r="C127" s="32" t="n">
        <v>150</v>
      </c>
      <c r="D127" s="27" t="s">
        <v>356</v>
      </c>
    </row>
    <row r="128" customFormat="false" ht="15" hidden="false" customHeight="false" outlineLevel="0" collapsed="false">
      <c r="A128" s="61" t="n">
        <v>3</v>
      </c>
      <c r="B128" s="24" t="s">
        <v>469</v>
      </c>
      <c r="C128" s="32" t="n">
        <v>1000</v>
      </c>
      <c r="D128" s="27" t="s">
        <v>356</v>
      </c>
    </row>
    <row r="129" customFormat="false" ht="15" hidden="false" customHeight="false" outlineLevel="0" collapsed="false">
      <c r="A129" s="61" t="n">
        <v>4</v>
      </c>
      <c r="B129" s="24" t="s">
        <v>470</v>
      </c>
      <c r="C129" s="37" t="n">
        <f aca="false">C127/C126</f>
        <v>0.015</v>
      </c>
      <c r="D129" s="27" t="s">
        <v>471</v>
      </c>
    </row>
    <row r="130" customFormat="false" ht="15" hidden="false" customHeight="false" outlineLevel="0" collapsed="false">
      <c r="A130" s="61" t="n">
        <v>5</v>
      </c>
      <c r="B130" s="24" t="s">
        <v>472</v>
      </c>
      <c r="C130" s="53" t="n">
        <f aca="false">C126/C128</f>
        <v>10</v>
      </c>
      <c r="D130" s="27" t="s">
        <v>473</v>
      </c>
    </row>
    <row r="131" customFormat="false" ht="15" hidden="false" customHeight="false" outlineLevel="0" collapsed="false">
      <c r="A131" s="61" t="n">
        <v>6</v>
      </c>
      <c r="B131" s="24" t="s">
        <v>87</v>
      </c>
      <c r="C131" s="42" t="n">
        <f aca="false">C129*C130</f>
        <v>0.15</v>
      </c>
      <c r="D131" s="27" t="s">
        <v>474</v>
      </c>
    </row>
    <row r="132" customFormat="false" ht="30" hidden="false" customHeight="true" outlineLevel="0" collapsed="false">
      <c r="A132" s="62" t="s">
        <v>475</v>
      </c>
      <c r="B132" s="62"/>
      <c r="C132" s="62"/>
      <c r="D132" s="62"/>
    </row>
    <row r="134" customFormat="false" ht="21.75" hidden="false" customHeight="true" outlineLevel="0" collapsed="false">
      <c r="A134" s="23" t="s">
        <v>476</v>
      </c>
      <c r="B134" s="23"/>
      <c r="C134" s="23"/>
      <c r="D134" s="23"/>
    </row>
    <row r="135" customFormat="false" ht="15" hidden="false" customHeight="false" outlineLevel="0" collapsed="false">
      <c r="A135" s="59" t="s">
        <v>352</v>
      </c>
      <c r="B135" s="60" t="s">
        <v>353</v>
      </c>
      <c r="C135" s="59" t="s">
        <v>354</v>
      </c>
      <c r="D135" s="59" t="s">
        <v>173</v>
      </c>
    </row>
    <row r="136" customFormat="false" ht="15" hidden="false" customHeight="false" outlineLevel="0" collapsed="false">
      <c r="A136" s="61" t="n">
        <v>1</v>
      </c>
      <c r="B136" s="24" t="s">
        <v>477</v>
      </c>
      <c r="C136" s="32" t="n">
        <v>1000</v>
      </c>
      <c r="D136" s="27" t="s">
        <v>356</v>
      </c>
    </row>
    <row r="137" customFormat="false" ht="15" hidden="false" customHeight="false" outlineLevel="0" collapsed="false">
      <c r="A137" s="61" t="n">
        <v>2</v>
      </c>
      <c r="B137" s="24" t="s">
        <v>310</v>
      </c>
      <c r="C137" s="63" t="n">
        <v>100</v>
      </c>
      <c r="D137" s="27" t="s">
        <v>356</v>
      </c>
    </row>
    <row r="138" customFormat="false" ht="15" hidden="false" customHeight="false" outlineLevel="0" collapsed="false">
      <c r="A138" s="61" t="n">
        <v>3</v>
      </c>
      <c r="B138" s="24" t="s">
        <v>156</v>
      </c>
      <c r="C138" s="38" t="n">
        <v>25</v>
      </c>
      <c r="D138" s="27" t="s">
        <v>356</v>
      </c>
    </row>
    <row r="139" customFormat="false" ht="15" hidden="false" customHeight="false" outlineLevel="0" collapsed="false">
      <c r="A139" s="61" t="n">
        <v>4</v>
      </c>
      <c r="B139" s="24" t="s">
        <v>317</v>
      </c>
      <c r="C139" s="38" t="n">
        <v>0.5</v>
      </c>
      <c r="D139" s="27" t="s">
        <v>356</v>
      </c>
    </row>
    <row r="140" customFormat="false" ht="15" hidden="false" customHeight="false" outlineLevel="0" collapsed="false">
      <c r="A140" s="61" t="n">
        <v>5</v>
      </c>
      <c r="B140" s="24" t="s">
        <v>159</v>
      </c>
      <c r="C140" s="54" t="n">
        <f aca="false">C136/C137</f>
        <v>10</v>
      </c>
      <c r="D140" s="27" t="s">
        <v>478</v>
      </c>
    </row>
    <row r="141" customFormat="false" ht="15" hidden="false" customHeight="false" outlineLevel="0" collapsed="false">
      <c r="A141" s="61" t="n">
        <v>6</v>
      </c>
      <c r="B141" s="24" t="s">
        <v>479</v>
      </c>
      <c r="C141" s="58" t="n">
        <f aca="false">C138/C140</f>
        <v>2.5</v>
      </c>
      <c r="D141" s="27" t="s">
        <v>480</v>
      </c>
    </row>
    <row r="142" customFormat="false" ht="15" hidden="false" customHeight="false" outlineLevel="0" collapsed="false">
      <c r="A142" s="61" t="n">
        <v>7</v>
      </c>
      <c r="B142" s="24" t="s">
        <v>481</v>
      </c>
      <c r="C142" s="51" t="n">
        <f aca="false">C138/(C140-C139)</f>
        <v>2.63157894736842</v>
      </c>
      <c r="D142" s="27" t="s">
        <v>482</v>
      </c>
    </row>
    <row r="143" customFormat="false" ht="30" hidden="false" customHeight="true" outlineLevel="0" collapsed="false">
      <c r="A143" s="62" t="s">
        <v>483</v>
      </c>
      <c r="B143" s="62"/>
      <c r="C143" s="62"/>
      <c r="D143" s="62"/>
    </row>
    <row r="145" customFormat="false" ht="21.75" hidden="false" customHeight="true" outlineLevel="0" collapsed="false">
      <c r="A145" s="23" t="s">
        <v>484</v>
      </c>
      <c r="B145" s="23"/>
      <c r="C145" s="23"/>
      <c r="D145" s="23"/>
    </row>
    <row r="146" customFormat="false" ht="15" hidden="false" customHeight="false" outlineLevel="0" collapsed="false">
      <c r="A146" s="59" t="s">
        <v>352</v>
      </c>
      <c r="B146" s="60" t="s">
        <v>353</v>
      </c>
      <c r="C146" s="59" t="s">
        <v>354</v>
      </c>
      <c r="D146" s="59" t="s">
        <v>173</v>
      </c>
    </row>
    <row r="147" customFormat="false" ht="15" hidden="false" customHeight="false" outlineLevel="0" collapsed="false">
      <c r="A147" s="61" t="n">
        <v>1</v>
      </c>
      <c r="B147" s="24" t="s">
        <v>87</v>
      </c>
      <c r="C147" s="34" t="n">
        <v>0.15</v>
      </c>
      <c r="D147" s="27" t="s">
        <v>356</v>
      </c>
    </row>
    <row r="148" customFormat="false" ht="15" hidden="false" customHeight="false" outlineLevel="0" collapsed="false">
      <c r="A148" s="61" t="n">
        <v>2</v>
      </c>
      <c r="B148" s="24" t="s">
        <v>485</v>
      </c>
      <c r="C148" s="34" t="n">
        <v>0.12</v>
      </c>
      <c r="D148" s="27" t="s">
        <v>356</v>
      </c>
    </row>
    <row r="149" customFormat="false" ht="15" hidden="false" customHeight="false" outlineLevel="0" collapsed="false">
      <c r="A149" s="61" t="n">
        <v>3</v>
      </c>
      <c r="B149" s="24" t="s">
        <v>486</v>
      </c>
      <c r="C149" s="34" t="n">
        <v>0.08</v>
      </c>
      <c r="D149" s="27" t="s">
        <v>356</v>
      </c>
    </row>
    <row r="150" customFormat="false" ht="15" hidden="false" customHeight="false" outlineLevel="0" collapsed="false">
      <c r="A150" s="61" t="n">
        <v>4</v>
      </c>
      <c r="B150" s="24" t="s">
        <v>487</v>
      </c>
      <c r="C150" s="51" t="n">
        <f aca="false">(C147-C149)/(C148-C149)</f>
        <v>1.75</v>
      </c>
      <c r="D150" s="27" t="s">
        <v>488</v>
      </c>
    </row>
    <row r="151" customFormat="false" ht="30" hidden="false" customHeight="true" outlineLevel="0" collapsed="false">
      <c r="A151" s="62" t="s">
        <v>489</v>
      </c>
      <c r="B151" s="62"/>
      <c r="C151" s="62"/>
      <c r="D151" s="62"/>
    </row>
    <row r="153" customFormat="false" ht="15" hidden="false" customHeight="false" outlineLevel="0" collapsed="false">
      <c r="A153" s="31" t="s">
        <v>93</v>
      </c>
      <c r="B153" s="31"/>
      <c r="C153" s="31"/>
      <c r="D153" s="31"/>
    </row>
  </sheetData>
  <mergeCells count="31">
    <mergeCell ref="A1:F1"/>
    <mergeCell ref="A2:F2"/>
    <mergeCell ref="A4:D4"/>
    <mergeCell ref="A11:D11"/>
    <mergeCell ref="A13:D13"/>
    <mergeCell ref="A19:D19"/>
    <mergeCell ref="A21:D21"/>
    <mergeCell ref="A31:D31"/>
    <mergeCell ref="A33:D33"/>
    <mergeCell ref="A41:D41"/>
    <mergeCell ref="A43:D43"/>
    <mergeCell ref="A52:D52"/>
    <mergeCell ref="A54:D54"/>
    <mergeCell ref="A62:D62"/>
    <mergeCell ref="A64:D64"/>
    <mergeCell ref="A71:D71"/>
    <mergeCell ref="A73:D73"/>
    <mergeCell ref="A83:D83"/>
    <mergeCell ref="A85:D85"/>
    <mergeCell ref="A92:D92"/>
    <mergeCell ref="A94:D94"/>
    <mergeCell ref="A102:D102"/>
    <mergeCell ref="A104:D104"/>
    <mergeCell ref="A122:D122"/>
    <mergeCell ref="A124:D124"/>
    <mergeCell ref="A132:D132"/>
    <mergeCell ref="A134:D134"/>
    <mergeCell ref="A143:D143"/>
    <mergeCell ref="A145:D145"/>
    <mergeCell ref="A151:D151"/>
    <mergeCell ref="A153:D153"/>
  </mergeCells>
  <hyperlinks>
    <hyperlink ref="A153" r:id="rId1" display="The Mountain Path Academy · Prof. V. Ravichandran ·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The Mountain Path Academy · themountainpathacademy.com · 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D700"/>
    <pageSetUpPr fitToPage="true"/>
  </sheetPr>
  <dimension ref="A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70"/>
    <col collapsed="false" customWidth="true" hidden="false" outlineLevel="0" max="4" min="3" style="0" width="16"/>
    <col collapsed="false" customWidth="true" hidden="false" outlineLevel="0" max="5" min="5" style="0" width="18"/>
    <col collapsed="false" customWidth="true" hidden="false" outlineLevel="0" max="6" min="6" style="0" width="4"/>
  </cols>
  <sheetData>
    <row r="1" customFormat="false" ht="30" hidden="false" customHeight="true" outlineLevel="0" collapsed="false">
      <c r="A1" s="19" t="s">
        <v>490</v>
      </c>
      <c r="B1" s="19"/>
      <c r="C1" s="19"/>
      <c r="D1" s="19"/>
      <c r="E1" s="19"/>
      <c r="F1" s="19"/>
    </row>
    <row r="2" customFormat="false" ht="19.5" hidden="false" customHeight="true" outlineLevel="0" collapsed="false">
      <c r="A2" s="20" t="s">
        <v>491</v>
      </c>
      <c r="B2" s="20"/>
      <c r="C2" s="20"/>
      <c r="D2" s="20"/>
      <c r="E2" s="20"/>
      <c r="F2" s="20"/>
    </row>
    <row r="4" customFormat="false" ht="27.75" hidden="false" customHeight="true" outlineLevel="0" collapsed="false">
      <c r="A4" s="21" t="s">
        <v>492</v>
      </c>
      <c r="B4" s="22" t="s">
        <v>493</v>
      </c>
      <c r="C4" s="22" t="s">
        <v>494</v>
      </c>
      <c r="D4" s="22" t="s">
        <v>495</v>
      </c>
      <c r="E4" s="22" t="s">
        <v>496</v>
      </c>
      <c r="F4" s="22"/>
    </row>
    <row r="5" customFormat="false" ht="43.5" hidden="false" customHeight="true" outlineLevel="0" collapsed="false">
      <c r="A5" s="66" t="s">
        <v>497</v>
      </c>
      <c r="B5" s="24" t="s">
        <v>498</v>
      </c>
      <c r="C5" s="39"/>
      <c r="D5" s="35" t="n">
        <f aca="false">1000*4/100000</f>
        <v>0.04</v>
      </c>
      <c r="E5" s="67" t="str">
        <f aca="false">IF(C5="","",IF(ABS(C5-D5)&lt;=0.0005,"✓ Correct","✗ Try again"))</f>
        <v/>
      </c>
    </row>
    <row r="6" customFormat="false" ht="43.5" hidden="false" customHeight="true" outlineLevel="0" collapsed="false">
      <c r="A6" s="66" t="s">
        <v>499</v>
      </c>
      <c r="B6" s="24" t="s">
        <v>500</v>
      </c>
      <c r="C6" s="39"/>
      <c r="D6" s="35" t="n">
        <f aca="false">(2000-600)/2000</f>
        <v>0.7</v>
      </c>
      <c r="E6" s="67" t="str">
        <f aca="false">IF(C6="","",IF(ABS(C6-D6)&lt;=0.0005,"✓ Correct","✗ Try again"))</f>
        <v/>
      </c>
    </row>
    <row r="7" customFormat="false" ht="43.5" hidden="false" customHeight="true" outlineLevel="0" collapsed="false">
      <c r="A7" s="66" t="s">
        <v>501</v>
      </c>
      <c r="B7" s="24" t="s">
        <v>502</v>
      </c>
      <c r="C7" s="68"/>
      <c r="D7" s="37" t="n">
        <f aca="false">0.015/1.2</f>
        <v>0.0125</v>
      </c>
      <c r="E7" s="67" t="str">
        <f aca="false">IF(C7="","",IF(ABS(C7-D7)&lt;=0.00005,"✓ Correct","✗ Try again"))</f>
        <v/>
      </c>
    </row>
    <row r="8" customFormat="false" ht="43.5" hidden="false" customHeight="true" outlineLevel="0" collapsed="false">
      <c r="A8" s="66" t="s">
        <v>503</v>
      </c>
      <c r="B8" s="24" t="s">
        <v>504</v>
      </c>
      <c r="C8" s="69"/>
      <c r="D8" s="58" t="n">
        <f aca="false">(0.15-0.08)/(0.12-0.08)</f>
        <v>1.75</v>
      </c>
      <c r="E8" s="67" t="str">
        <f aca="false">IF(C8="","",IF(ABS(C8-D8)&lt;=0.005,"✓ Correct","✗ Try again"))</f>
        <v/>
      </c>
    </row>
    <row r="9" customFormat="false" ht="43.5" hidden="false" customHeight="true" outlineLevel="0" collapsed="false">
      <c r="A9" s="66" t="s">
        <v>505</v>
      </c>
      <c r="B9" s="24" t="s">
        <v>506</v>
      </c>
      <c r="C9" s="68"/>
      <c r="D9" s="37" t="n">
        <f aca="false">0.15*(1+0.15*(1-0.2))/1.25</f>
        <v>0.1344</v>
      </c>
      <c r="E9" s="67" t="str">
        <f aca="false">IF(C9="","",IF(ABS(C9-D9)&lt;=0.0005,"✓ Correct","✗ Try again"))</f>
        <v/>
      </c>
    </row>
    <row r="11" customFormat="false" ht="30" hidden="false" customHeight="true" outlineLevel="0" collapsed="false">
      <c r="B11" s="27" t="s">
        <v>507</v>
      </c>
      <c r="C11" s="27"/>
      <c r="D11" s="27"/>
      <c r="E11" s="27"/>
    </row>
    <row r="13" customFormat="false" ht="15" hidden="false" customHeight="false" outlineLevel="0" collapsed="false">
      <c r="A13" s="31" t="s">
        <v>93</v>
      </c>
      <c r="B13" s="31"/>
      <c r="C13" s="31"/>
      <c r="D13" s="31"/>
      <c r="E13" s="31"/>
    </row>
  </sheetData>
  <mergeCells count="4">
    <mergeCell ref="A1:F1"/>
    <mergeCell ref="A2:F2"/>
    <mergeCell ref="B11:E11"/>
    <mergeCell ref="A13:E13"/>
  </mergeCells>
  <hyperlinks>
    <hyperlink ref="A13" r:id="rId1" display="The Mountain Path Academy · Prof. V. Ravichandran ·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The Mountain Path Academy · themountainpathacademy.com · 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892B0"/>
    <pageSetUpPr fitToPage="true"/>
  </sheetPr>
  <dimension ref="A1:C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6"/>
    <col collapsed="false" customWidth="true" hidden="false" outlineLevel="0" max="3" min="3" style="0" width="70"/>
  </cols>
  <sheetData>
    <row r="1" customFormat="false" ht="30" hidden="false" customHeight="true" outlineLevel="0" collapsed="false">
      <c r="A1" s="19" t="s">
        <v>508</v>
      </c>
      <c r="B1" s="19"/>
      <c r="C1" s="19"/>
    </row>
    <row r="2" customFormat="false" ht="19.5" hidden="false" customHeight="true" outlineLevel="0" collapsed="false">
      <c r="A2" s="20" t="s">
        <v>509</v>
      </c>
      <c r="B2" s="20"/>
      <c r="C2" s="20"/>
    </row>
    <row r="4" customFormat="false" ht="27.75" hidden="false" customHeight="true" outlineLevel="0" collapsed="false">
      <c r="A4" s="21" t="s">
        <v>510</v>
      </c>
      <c r="B4" s="22" t="s">
        <v>511</v>
      </c>
      <c r="C4" s="22" t="s">
        <v>512</v>
      </c>
    </row>
    <row r="5" customFormat="false" ht="15" hidden="false" customHeight="false" outlineLevel="0" collapsed="false">
      <c r="A5" s="40" t="s">
        <v>292</v>
      </c>
      <c r="B5" s="24" t="s">
        <v>513</v>
      </c>
      <c r="C5" s="24" t="s">
        <v>514</v>
      </c>
    </row>
    <row r="6" customFormat="false" ht="15" hidden="false" customHeight="false" outlineLevel="0" collapsed="false">
      <c r="A6" s="70" t="s">
        <v>515</v>
      </c>
      <c r="B6" s="71" t="s">
        <v>365</v>
      </c>
      <c r="C6" s="71" t="s">
        <v>516</v>
      </c>
    </row>
    <row r="7" customFormat="false" ht="15" hidden="false" customHeight="false" outlineLevel="0" collapsed="false">
      <c r="A7" s="40" t="s">
        <v>517</v>
      </c>
      <c r="B7" s="24" t="s">
        <v>518</v>
      </c>
      <c r="C7" s="24" t="s">
        <v>519</v>
      </c>
    </row>
    <row r="8" customFormat="false" ht="15" hidden="false" customHeight="false" outlineLevel="0" collapsed="false">
      <c r="A8" s="70" t="s">
        <v>520</v>
      </c>
      <c r="B8" s="71" t="s">
        <v>521</v>
      </c>
      <c r="C8" s="71" t="s">
        <v>522</v>
      </c>
    </row>
    <row r="9" customFormat="false" ht="15" hidden="false" customHeight="false" outlineLevel="0" collapsed="false">
      <c r="A9" s="40" t="s">
        <v>523</v>
      </c>
      <c r="B9" s="24" t="s">
        <v>69</v>
      </c>
      <c r="C9" s="24" t="s">
        <v>524</v>
      </c>
    </row>
    <row r="10" customFormat="false" ht="15" hidden="false" customHeight="false" outlineLevel="0" collapsed="false">
      <c r="A10" s="70" t="s">
        <v>525</v>
      </c>
      <c r="B10" s="71" t="s">
        <v>402</v>
      </c>
      <c r="C10" s="71" t="s">
        <v>526</v>
      </c>
    </row>
    <row r="11" customFormat="false" ht="15" hidden="false" customHeight="false" outlineLevel="0" collapsed="false">
      <c r="A11" s="40" t="s">
        <v>527</v>
      </c>
      <c r="B11" s="24" t="s">
        <v>528</v>
      </c>
      <c r="C11" s="24" t="s">
        <v>529</v>
      </c>
    </row>
    <row r="12" customFormat="false" ht="15" hidden="false" customHeight="false" outlineLevel="0" collapsed="false">
      <c r="A12" s="70" t="s">
        <v>530</v>
      </c>
      <c r="B12" s="71" t="s">
        <v>531</v>
      </c>
      <c r="C12" s="71" t="s">
        <v>532</v>
      </c>
    </row>
    <row r="13" customFormat="false" ht="15" hidden="false" customHeight="false" outlineLevel="0" collapsed="false">
      <c r="A13" s="40" t="s">
        <v>533</v>
      </c>
      <c r="B13" s="24" t="s">
        <v>534</v>
      </c>
      <c r="C13" s="24" t="s">
        <v>535</v>
      </c>
    </row>
    <row r="14" customFormat="false" ht="15" hidden="false" customHeight="false" outlineLevel="0" collapsed="false">
      <c r="A14" s="70" t="s">
        <v>536</v>
      </c>
      <c r="B14" s="71" t="s">
        <v>537</v>
      </c>
      <c r="C14" s="71" t="s">
        <v>538</v>
      </c>
    </row>
    <row r="15" customFormat="false" ht="15" hidden="false" customHeight="false" outlineLevel="0" collapsed="false">
      <c r="A15" s="40" t="s">
        <v>539</v>
      </c>
      <c r="B15" s="24" t="s">
        <v>540</v>
      </c>
      <c r="C15" s="24" t="s">
        <v>541</v>
      </c>
    </row>
    <row r="16" customFormat="false" ht="15" hidden="false" customHeight="false" outlineLevel="0" collapsed="false">
      <c r="A16" s="70" t="s">
        <v>542</v>
      </c>
      <c r="B16" s="71" t="s">
        <v>79</v>
      </c>
      <c r="C16" s="71" t="s">
        <v>543</v>
      </c>
    </row>
    <row r="17" customFormat="false" ht="15" hidden="false" customHeight="false" outlineLevel="0" collapsed="false">
      <c r="A17" s="40" t="s">
        <v>544</v>
      </c>
      <c r="B17" s="24" t="s">
        <v>545</v>
      </c>
      <c r="C17" s="24" t="s">
        <v>546</v>
      </c>
    </row>
    <row r="18" customFormat="false" ht="15" hidden="false" customHeight="false" outlineLevel="0" collapsed="false">
      <c r="A18" s="70" t="s">
        <v>413</v>
      </c>
      <c r="B18" s="71" t="s">
        <v>74</v>
      </c>
      <c r="C18" s="71" t="s">
        <v>220</v>
      </c>
    </row>
    <row r="19" customFormat="false" ht="15" hidden="false" customHeight="false" outlineLevel="0" collapsed="false">
      <c r="A19" s="40" t="s">
        <v>81</v>
      </c>
      <c r="B19" s="24" t="s">
        <v>547</v>
      </c>
      <c r="C19" s="24" t="s">
        <v>548</v>
      </c>
    </row>
    <row r="20" customFormat="false" ht="15" hidden="false" customHeight="false" outlineLevel="0" collapsed="false">
      <c r="A20" s="70" t="s">
        <v>549</v>
      </c>
      <c r="B20" s="71" t="s">
        <v>550</v>
      </c>
      <c r="C20" s="71" t="s">
        <v>551</v>
      </c>
    </row>
    <row r="21" customFormat="false" ht="15" hidden="false" customHeight="false" outlineLevel="0" collapsed="false">
      <c r="A21" s="40" t="s">
        <v>552</v>
      </c>
      <c r="B21" s="24" t="s">
        <v>553</v>
      </c>
      <c r="C21" s="24" t="s">
        <v>554</v>
      </c>
    </row>
    <row r="22" customFormat="false" ht="15" hidden="false" customHeight="false" outlineLevel="0" collapsed="false">
      <c r="A22" s="70" t="s">
        <v>555</v>
      </c>
      <c r="B22" s="71" t="s">
        <v>556</v>
      </c>
      <c r="C22" s="71" t="s">
        <v>557</v>
      </c>
    </row>
    <row r="23" customFormat="false" ht="15" hidden="false" customHeight="false" outlineLevel="0" collapsed="false">
      <c r="A23" s="40" t="s">
        <v>558</v>
      </c>
      <c r="B23" s="24" t="s">
        <v>559</v>
      </c>
      <c r="C23" s="24" t="s">
        <v>560</v>
      </c>
    </row>
    <row r="24" customFormat="false" ht="15" hidden="false" customHeight="false" outlineLevel="0" collapsed="false">
      <c r="A24" s="70" t="s">
        <v>561</v>
      </c>
      <c r="B24" s="71" t="s">
        <v>470</v>
      </c>
      <c r="C24" s="71" t="s">
        <v>562</v>
      </c>
    </row>
    <row r="25" customFormat="false" ht="15" hidden="false" customHeight="false" outlineLevel="0" collapsed="false">
      <c r="A25" s="40" t="s">
        <v>563</v>
      </c>
      <c r="B25" s="24" t="s">
        <v>87</v>
      </c>
      <c r="C25" s="24" t="s">
        <v>564</v>
      </c>
    </row>
    <row r="26" customFormat="false" ht="15" hidden="false" customHeight="false" outlineLevel="0" collapsed="false">
      <c r="A26" s="70" t="s">
        <v>565</v>
      </c>
      <c r="B26" s="71" t="s">
        <v>485</v>
      </c>
      <c r="C26" s="71" t="s">
        <v>566</v>
      </c>
    </row>
    <row r="27" customFormat="false" ht="15" hidden="false" customHeight="false" outlineLevel="0" collapsed="false">
      <c r="A27" s="40" t="s">
        <v>567</v>
      </c>
      <c r="B27" s="24" t="s">
        <v>568</v>
      </c>
      <c r="C27" s="24" t="s">
        <v>569</v>
      </c>
    </row>
    <row r="28" customFormat="false" ht="15" hidden="false" customHeight="false" outlineLevel="0" collapsed="false">
      <c r="A28" s="70" t="s">
        <v>321</v>
      </c>
      <c r="B28" s="71" t="s">
        <v>570</v>
      </c>
      <c r="C28" s="71" t="s">
        <v>571</v>
      </c>
    </row>
    <row r="29" customFormat="false" ht="15" hidden="false" customHeight="false" outlineLevel="0" collapsed="false">
      <c r="A29" s="40" t="s">
        <v>572</v>
      </c>
      <c r="B29" s="24" t="s">
        <v>573</v>
      </c>
      <c r="C29" s="24" t="s">
        <v>574</v>
      </c>
    </row>
    <row r="30" customFormat="false" ht="15" hidden="false" customHeight="false" outlineLevel="0" collapsed="false">
      <c r="A30" s="70" t="s">
        <v>575</v>
      </c>
      <c r="B30" s="71" t="s">
        <v>576</v>
      </c>
      <c r="C30" s="71" t="s">
        <v>577</v>
      </c>
    </row>
    <row r="31" customFormat="false" ht="15" hidden="false" customHeight="false" outlineLevel="0" collapsed="false">
      <c r="A31" s="40" t="s">
        <v>578</v>
      </c>
      <c r="B31" s="24" t="s">
        <v>579</v>
      </c>
      <c r="C31" s="24" t="s">
        <v>580</v>
      </c>
    </row>
    <row r="32" customFormat="false" ht="15" hidden="false" customHeight="false" outlineLevel="0" collapsed="false">
      <c r="A32" s="70" t="s">
        <v>581</v>
      </c>
      <c r="B32" s="71" t="s">
        <v>582</v>
      </c>
      <c r="C32" s="71" t="s">
        <v>583</v>
      </c>
    </row>
    <row r="33" customFormat="false" ht="15" hidden="false" customHeight="false" outlineLevel="0" collapsed="false">
      <c r="A33" s="40" t="s">
        <v>584</v>
      </c>
      <c r="B33" s="24" t="s">
        <v>585</v>
      </c>
      <c r="C33" s="24" t="s">
        <v>586</v>
      </c>
    </row>
    <row r="34" customFormat="false" ht="15" hidden="false" customHeight="false" outlineLevel="0" collapsed="false">
      <c r="A34" s="70" t="s">
        <v>587</v>
      </c>
      <c r="B34" s="71" t="s">
        <v>588</v>
      </c>
      <c r="C34" s="71" t="s">
        <v>589</v>
      </c>
    </row>
    <row r="35" customFormat="false" ht="15" hidden="false" customHeight="false" outlineLevel="0" collapsed="false">
      <c r="A35" s="40" t="s">
        <v>590</v>
      </c>
      <c r="B35" s="24" t="s">
        <v>591</v>
      </c>
      <c r="C35" s="24" t="s">
        <v>592</v>
      </c>
    </row>
    <row r="36" customFormat="false" ht="15" hidden="false" customHeight="false" outlineLevel="0" collapsed="false">
      <c r="A36" s="70" t="s">
        <v>593</v>
      </c>
      <c r="B36" s="71" t="s">
        <v>594</v>
      </c>
      <c r="C36" s="71" t="s">
        <v>595</v>
      </c>
    </row>
    <row r="37" customFormat="false" ht="15" hidden="false" customHeight="false" outlineLevel="0" collapsed="false">
      <c r="A37" s="40" t="s">
        <v>596</v>
      </c>
      <c r="B37" s="24" t="s">
        <v>597</v>
      </c>
      <c r="C37" s="24" t="s">
        <v>598</v>
      </c>
    </row>
    <row r="38" customFormat="false" ht="23.85" hidden="false" customHeight="false" outlineLevel="0" collapsed="false">
      <c r="A38" s="70" t="s">
        <v>599</v>
      </c>
      <c r="B38" s="71" t="s">
        <v>600</v>
      </c>
      <c r="C38" s="71" t="s">
        <v>601</v>
      </c>
    </row>
    <row r="39" customFormat="false" ht="15" hidden="false" customHeight="false" outlineLevel="0" collapsed="false">
      <c r="A39" s="40" t="s">
        <v>602</v>
      </c>
      <c r="B39" s="24" t="s">
        <v>603</v>
      </c>
      <c r="C39" s="24" t="s">
        <v>604</v>
      </c>
    </row>
    <row r="40" customFormat="false" ht="15" hidden="false" customHeight="false" outlineLevel="0" collapsed="false">
      <c r="A40" s="70" t="s">
        <v>605</v>
      </c>
      <c r="B40" s="71" t="s">
        <v>606</v>
      </c>
      <c r="C40" s="71" t="s">
        <v>607</v>
      </c>
    </row>
    <row r="41" customFormat="false" ht="15" hidden="false" customHeight="false" outlineLevel="0" collapsed="false">
      <c r="A41" s="40" t="s">
        <v>608</v>
      </c>
      <c r="B41" s="24" t="s">
        <v>609</v>
      </c>
      <c r="C41" s="24" t="s">
        <v>610</v>
      </c>
    </row>
    <row r="42" customFormat="false" ht="15" hidden="false" customHeight="false" outlineLevel="0" collapsed="false">
      <c r="A42" s="70" t="s">
        <v>611</v>
      </c>
      <c r="B42" s="71" t="s">
        <v>612</v>
      </c>
      <c r="C42" s="71" t="s">
        <v>613</v>
      </c>
    </row>
    <row r="43" customFormat="false" ht="15" hidden="false" customHeight="false" outlineLevel="0" collapsed="false">
      <c r="A43" s="40" t="s">
        <v>253</v>
      </c>
      <c r="B43" s="24" t="s">
        <v>614</v>
      </c>
      <c r="C43" s="24" t="s">
        <v>615</v>
      </c>
    </row>
    <row r="44" customFormat="false" ht="23.85" hidden="false" customHeight="false" outlineLevel="0" collapsed="false">
      <c r="A44" s="70" t="s">
        <v>57</v>
      </c>
      <c r="B44" s="71" t="s">
        <v>616</v>
      </c>
      <c r="C44" s="71" t="s">
        <v>617</v>
      </c>
    </row>
    <row r="45" customFormat="false" ht="23.85" hidden="false" customHeight="false" outlineLevel="0" collapsed="false">
      <c r="A45" s="40" t="s">
        <v>58</v>
      </c>
      <c r="B45" s="24" t="s">
        <v>618</v>
      </c>
      <c r="C45" s="24" t="s">
        <v>619</v>
      </c>
    </row>
    <row r="46" customFormat="false" ht="15" hidden="false" customHeight="false" outlineLevel="0" collapsed="false">
      <c r="A46" s="70" t="s">
        <v>620</v>
      </c>
      <c r="B46" s="71" t="s">
        <v>621</v>
      </c>
      <c r="C46" s="71" t="s">
        <v>622</v>
      </c>
    </row>
    <row r="47" customFormat="false" ht="15" hidden="false" customHeight="false" outlineLevel="0" collapsed="false">
      <c r="A47" s="40" t="s">
        <v>623</v>
      </c>
      <c r="B47" s="24" t="s">
        <v>624</v>
      </c>
      <c r="C47" s="24" t="s">
        <v>625</v>
      </c>
    </row>
    <row r="49" customFormat="false" ht="11.9" hidden="false" customHeight="false" outlineLevel="0" collapsed="false">
      <c r="A49" s="31" t="s">
        <v>93</v>
      </c>
      <c r="B49" s="31"/>
      <c r="C49" s="31"/>
    </row>
  </sheetData>
  <mergeCells count="3">
    <mergeCell ref="A1:C1"/>
    <mergeCell ref="A2:C2"/>
    <mergeCell ref="A49:C49"/>
  </mergeCells>
  <hyperlinks>
    <hyperlink ref="A49" r:id="rId1" display="The Mountain Path Academy · Prof. V. Ravichandran ·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The Mountain Path Academy · themountainpathacademy.com ·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2026-10-18T14:04:17Z</dcterms:created>
  <dc:creator>openpyxl</dc:creator>
  <dc:description/>
  <dc:language>en-US</dc:language>
  <cp:lastModifiedBy/>
  <dcterms:modified xsi:type="dcterms:W3CDTF">2026-10-18T14:04:19Z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