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1.xml.rels" ContentType="application/vnd.openxmlformats-package.relationships+xml"/>
  <Override PartName="/xl/worksheets/_rels/sheet10.xml.rels" ContentType="application/vnd.openxmlformats-package.relationships+xml"/>
  <Override PartName="/xl/worksheets/_rels/sheet9.xml.rels" ContentType="application/vnd.openxmlformats-package.relationships+xml"/>
  <Override PartName="/xl/worksheets/_rels/sheet12.xml.rels" ContentType="application/vnd.openxmlformats-package.relationships+xml"/>
  <Override PartName="/xl/worksheets/_rels/sheet1.xml.rels" ContentType="application/vnd.openxmlformats-package.relationships+xml"/>
  <Override PartName="/xl/worksheets/sheet9.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S1_Bootstrap" sheetId="2" state="visible" r:id="rId4"/>
    <sheet name="S2_Bank_Debt" sheetId="3" state="visible" r:id="rId5"/>
    <sheet name="S3_Brand" sheetId="4" state="visible" r:id="rId6"/>
    <sheet name="S4_Angel" sheetId="5" state="visible" r:id="rId7"/>
    <sheet name="S5_Series_A" sheetId="6" state="visible" r:id="rId8"/>
    <sheet name="S6_Series_B_Scale" sheetId="7" state="visible" r:id="rId9"/>
    <sheet name="Inputs" sheetId="8" state="visible" r:id="rId10"/>
    <sheet name="1_Rev_Profit_Cash" sheetId="9" state="visible" r:id="rId11"/>
    <sheet name="2_Working_Capital" sheetId="10" state="visible" r:id="rId12"/>
    <sheet name="3_Equity_Raise" sheetId="11" state="visible" r:id="rId13"/>
    <sheet name="4_OppCost_WACC" sheetId="12" state="visible" r:id="rId14"/>
    <sheet name="5_Valuation_Value" sheetId="13" state="visible" r:id="rId1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<sst xmlns="http://schemas.openxmlformats.org/spreadsheetml/2006/main" count="599" uniqueCount="411">
  <si>
    <t xml:space="preserve">Vayu Fenestration Pvt Ltd — From a Peenya Shed to Series B</t>
  </si>
  <si>
    <t xml:space="preserve">Caselet · Venture Capital and Private Equity · Session 1: Entrepreneurial Finance — Introduction and Overview</t>
  </si>
  <si>
    <t xml:space="preserve">Prof. V. Ravichandran</t>
  </si>
  <si>
    <t xml:space="preserve">Arjun Rao spent ten years as a project engineer with a Bangalore developer. On every site he saw the same problem: established branded window makers quoted 8–10 week lead times and premium prices, while local fabricators were cheap but unreliable. In Year 1 he resigned, put ₹25 lakh of his savings and ₹10 lakh from family into a rented shed in Peenya Industrial Area, and started Vayu Fenestration — aluminium windows and sliding systems for real-estate builders, promising "branded quality at local speed". Over eight years the venture moves through the full life cycle: bootstrapping, bank borrowing, brand building, an angel round, a Series A and a Series B. At every stage sales grow faster than cash, and every rupee of new capital has a price.</t>
  </si>
  <si>
    <t xml:space="preserve">Tab</t>
  </si>
  <si>
    <t xml:space="preserve">What it shows</t>
  </si>
  <si>
    <t xml:space="preserve">S1_Bootstrap</t>
  </si>
  <si>
    <t xml:space="preserve">Year 1 — founder savings, family money, second-hand machines (Development / Startup stage)</t>
  </si>
  <si>
    <t xml:space="preserve">S2_Bank_Debt</t>
  </si>
  <si>
    <t xml:space="preserve">Year 2 — first big order, term loan and cash credit (Survival stage)</t>
  </si>
  <si>
    <t xml:space="preserve">S3_Brand</t>
  </si>
  <si>
    <t xml:space="preserve">Year 3 — showroom, warranty, brand premium, customer advances</t>
  </si>
  <si>
    <t xml:space="preserve">S4_Angel</t>
  </si>
  <si>
    <t xml:space="preserve">Year 4 — angel investor funds a second production line (Rapid growth begins)</t>
  </si>
  <si>
    <t xml:space="preserve">S5_Series_A</t>
  </si>
  <si>
    <t xml:space="preserve">Year 5 — venture capital Series A for a new plant and new cities</t>
  </si>
  <si>
    <t xml:space="preserve">S6_Series_B_Scale</t>
  </si>
  <si>
    <t xml:space="preserve">Years 6–8 — Series B, positive free cash flow, exit options (Early maturity)</t>
  </si>
  <si>
    <t xml:space="preserve">Inputs</t>
  </si>
  <si>
    <t xml:space="preserve">All assumptions in one place (blue = input; change them and every tab recalculates)</t>
  </si>
  <si>
    <t xml:space="preserve">1_Rev_Profit_Cash</t>
  </si>
  <si>
    <t xml:space="preserve">Revenue vs profit vs cash, growth, funding gap and funding raised each year</t>
  </si>
  <si>
    <t xml:space="preserve">2_Working_Capital</t>
  </si>
  <si>
    <t xml:space="preserve">Receivables, retention, inventory, payables, advances · operating cycle and cash conversion cycle</t>
  </si>
  <si>
    <t xml:space="preserve">3_Equity_Raise</t>
  </si>
  <si>
    <t xml:space="preserve">Pitch projections · VC method pricing of Angel, Series A, Series B · cap table and dilution</t>
  </si>
  <si>
    <t xml:space="preserve">4_OppCost_WACC</t>
  </si>
  <si>
    <t xml:space="preserve">Opportunity cost of the founder · cost of debt, cost of equity by stage, WACC</t>
  </si>
  <si>
    <t xml:space="preserve">5_Valuation_Value</t>
  </si>
  <si>
    <t xml:space="preserve">Present value of future cash flows · what value is · ROIC vs WACC · how growth creates (or destroys) value</t>
  </si>
  <si>
    <t xml:space="preserve">Conventions</t>
  </si>
  <si>
    <t xml:space="preserve">Units</t>
  </si>
  <si>
    <t xml:space="preserve">All amounts in ₹ lakh (₹1 crore = 100 lakh). Years Y1–Y8 are financial years from founding.</t>
  </si>
  <si>
    <t xml:space="preserve">Blue text</t>
  </si>
  <si>
    <t xml:space="preserve">Hard-coded input — change it to run your own scenario</t>
  </si>
  <si>
    <t xml:space="preserve">Black text</t>
  </si>
  <si>
    <t xml:space="preserve">Formula on the same sheet</t>
  </si>
  <si>
    <t xml:space="preserve">Green text</t>
  </si>
  <si>
    <t xml:space="preserve">Formula linked from another sheet</t>
  </si>
  <si>
    <t xml:space="preserve">Yellow fill</t>
  </si>
  <si>
    <t xml:space="preserve">Key assumption worth debating in class</t>
  </si>
  <si>
    <t xml:space="preserve">Disclaimer</t>
  </si>
  <si>
    <t xml:space="preserve">Vayu Fenestration, its people, investors and all numbers are hypothetical teaching material. No real company or market data is represented.</t>
  </si>
  <si>
    <t xml:space="preserve">Stage 1 · Bootstrapping in a Peenya shed (Year 1)</t>
  </si>
  <si>
    <t xml:space="preserve">Life-cycle stage: Development / Startup   ·   Main funding: Founder savings, family, bootstrapping</t>
  </si>
  <si>
    <t xml:space="preserve">The story</t>
  </si>
  <si>
    <t xml:space="preserve">Arjun Rao, 34, gave up an ₹18 lakh-a-year job as a project engineer. He had watched builders in Sarjapur and Whitefield wait 8–10 weeks for branded windows, while cheaper local fabricators missed dates and leaked in the monsoon. His pitch to builders: "branded quality at local speed".</t>
  </si>
  <si>
    <t xml:space="preserve">He put in ₹25 lakh of savings; his family added ₹10 lakh for a 10% stake. He rented a 4,000 sq ft shed in Peenya, bought second-hand cutting and crimping machines (₹8 lakh), hired six fabricators, measured sites himself and paid himself ₹6 lakh. Aluminium extrusion suppliers wanted cash; builders paid running bills in about 75 days and held back 5% retention until handover.</t>
  </si>
  <si>
    <t xml:space="preserve">By year end Vayu had billed ₹60 lakh of villas and two small apartment blocks. It made a small loss — and of the ₹35 lakh raised, only a few lakh was left in the bank.</t>
  </si>
  <si>
    <t xml:space="preserve">Key numbers (₹ lakh) — linked from the model</t>
  </si>
  <si>
    <t xml:space="preserve">Metric</t>
  </si>
  <si>
    <t xml:space="preserve">Y1</t>
  </si>
  <si>
    <t xml:space="preserve">Revenue</t>
  </si>
  <si>
    <t xml:space="preserve">Revenue growth %</t>
  </si>
  <si>
    <t xml:space="preserve">EBITDA</t>
  </si>
  <si>
    <t xml:space="preserve">Profit after tax (PAT)</t>
  </si>
  <si>
    <t xml:space="preserve">Increase in working capital</t>
  </si>
  <si>
    <t xml:space="preserve">Cash flow from operations</t>
  </si>
  <si>
    <t xml:space="preserve">Capital expenditure</t>
  </si>
  <si>
    <t xml:space="preserve">Free cash flow before financing</t>
  </si>
  <si>
    <t xml:space="preserve">Funding gap</t>
  </si>
  <si>
    <t xml:space="preserve">Net financing raised</t>
  </si>
  <si>
    <t xml:space="preserve">Closing cash</t>
  </si>
  <si>
    <t xml:space="preserve">Operating cycle (days)</t>
  </si>
  <si>
    <t xml:space="preserve">Cash conversion cycle (days)</t>
  </si>
  <si>
    <t xml:space="preserve">Required return on equity</t>
  </si>
  <si>
    <t xml:space="preserve">The dilemma</t>
  </si>
  <si>
    <t xml:space="preserve">A 140-unit apartment project wants a quote for next year. Winning it would triple sales — but Vayu cannot even fund this year’s receivables. Should Arjun bid?</t>
  </si>
  <si>
    <t xml:space="preserve">Session 1 concept at work</t>
  </si>
  <si>
    <t xml:space="preserve">Opportunity cost (Principle 1) and cash (Principle 3). Arjun’s real cost is the salary and interest he gave up — compare his economic profit on tab 4 with the accounting loss. Bootstrapping (used machines, founder doing measurement, a rented shed) stretches scarce cash but is not free capital.</t>
  </si>
  <si>
    <t xml:space="preserve">Discussion questions</t>
  </si>
  <si>
    <t xml:space="preserve">1. Revenue was ₹60 lakh. Where did the ₹35 lakh of founder and family money go? Use tabs 1 and 2.</t>
  </si>
  <si>
    <t xml:space="preserve">2. What was Arjun’s economic profit in Y1 once his forgone salary and the interest on his savings are counted?</t>
  </si>
  <si>
    <t xml:space="preserve">3. Was the 10% stake given to the family for ₹10 lakh cheap or expensive? What does it imply about the value of Vayu on day one?</t>
  </si>
  <si>
    <t xml:space="preserve">4. Which of the three value circles — opportunity, resources, operations — was strongest and which was weakest in Y1?</t>
  </si>
  <si>
    <t xml:space="preserve">Stage 2 · The first big order and the bank (Year 2)</t>
  </si>
  <si>
    <t xml:space="preserve">Life-cycle stage: Survival   ·   Main funding: Bank term loan + cash credit</t>
  </si>
  <si>
    <t xml:space="preserve">Vayu won the 120-unit apartment order. To cut and machine profiles to the builder’s tolerances Arjun needed a CNC machine. His bank sanctioned a ₹30 lakh machinery term loan at 10.5% under a collateral-free guarantee scheme for small enterprises, and a ₹40 lakh cash credit limit against receivables and stock.</t>
  </si>
  <si>
    <t xml:space="preserve">Sales tripled to ₹180 lakh and Vayu reported its first (tiny) profit. But the larger builder paid in 90 days, inventory grew for the bigger project, and suppliers still gave only 20 days. Cash flow from operations was about minus ₹42 lakh — worse than in Year 1.</t>
  </si>
  <si>
    <t xml:space="preserve">Y2</t>
  </si>
  <si>
    <t xml:space="preserve">The bank manager says the cash credit is fully drawn against Vayu’s drawing power. Two more builders want quotes. Should Arjun accept slower payment terms to win them?</t>
  </si>
  <si>
    <t xml:space="preserve">Revenue is not profit, profit is not cash (Principle 3). Debt fits assets and short-cycle working capital that a bank can see and secure; it does not fit a venture whose cash cycle keeps lengthening. Incentives (Principle 6): the bank’s covenants and drawing-power rules protect the lender, not the growth plan.</t>
  </si>
  <si>
    <t xml:space="preserve">1. Sales tripled and PAT turned positive. Why did operating cash flow get worse?</t>
  </si>
  <si>
    <t xml:space="preserve">2. Calculate the operating cycle and cash conversion cycle for Y2. How many days of costs is Vayu financing?</t>
  </si>
  <si>
    <t xml:space="preserve">3. What share of Vayu’s net working capital did the bank’s cash credit fund at the end of Y2 (tab 2)?</t>
  </si>
  <si>
    <t xml:space="preserve">4. Why is a bank comfortable lending against a CNC machine but cautious about funding more receivables?</t>
  </si>
  <si>
    <t xml:space="preserve">Stage 3 · Building the VayuLine brand (Year 3)</t>
  </si>
  <si>
    <t xml:space="preserve">Life-cycle stage: Startup → early Rapid growth   ·   Main funding: Bank debt, retained profit</t>
  </si>
  <si>
    <t xml:space="preserve">Competing on price against established brands was a losing game. Arjun launched the "VayuLine" range: a small display studio on Sarjapur Road, a 10-year warranty, acoustic and monsoon-tested sliding systems, and regular meetings with architects. Marketing jumped to 6% of sales.</t>
  </si>
  <si>
    <t xml:space="preserve">It worked. Builders began specifying VayuLine by name; gross margin rose from 24% to 27% and some builders paid a 3% mobilisation advance. Revenue reached ₹420 lakh. But receivable days crept up to 95 as Vayu chased bigger builders, and bank borrowing rose to ₹69 lakh of term loans plus ₹110 lakh of cash credit — close to the limit of what Vayu’s balance sheet could support.</t>
  </si>
  <si>
    <t xml:space="preserve">Y3</t>
  </si>
  <si>
    <t xml:space="preserve">Arjun has a chance to supply a 600-unit township — 30% of next year’s sales from one builder known for paying in 120 days. The bank will not raise limits further. What now?</t>
  </si>
  <si>
    <t xml:space="preserve">Value, not sales (Principle 5). Brand spending lowered short-term profit but raised margins and brought customer advances — both of which raise future cash flow. Reputation (Principle 7): warranty claims honoured promptly became Vayu’s best sales tool with builders.</t>
  </si>
  <si>
    <t xml:space="preserve">1. Compare gross margin, marketing spend and EBITDA in Y2 and Y3. Did the brand investment create value?</t>
  </si>
  <si>
    <t xml:space="preserve">2. How did customer advances change the cash conversion cycle?</t>
  </si>
  <si>
    <t xml:space="preserve">3. Using tab 1, how much cash did Vayu have to find from outside in Y3, and where did it come from?</t>
  </si>
  <si>
    <t xml:space="preserve">4. Would you take the 600-unit township order? What terms would you insist on?</t>
  </si>
  <si>
    <t xml:space="preserve">Stage 4 · The angel investor (Year 4)</t>
  </si>
  <si>
    <t xml:space="preserve">Life-cycle stage: Rapid growth   ·   Main funding: Angel equity + bank debt</t>
  </si>
  <si>
    <t xml:space="preserve">Arjun was introduced, through a Bangalore angel network, to a retired real-estate executive who had built 20 projects in the city. She invested ₹120 lakh for a minority stake, joined the board, insisted on monthly MIS and audited accounts, and opened doors to three large developers.</t>
  </si>
  <si>
    <t xml:space="preserve">The money paid for a second production line (₹120 lakh capex with a further term loan) and the working capital for the township order. Revenue almost doubled to ₹800 lakh and PAT reached about ₹27 lakh — yet operating cash flow was still negative.</t>
  </si>
  <si>
    <t xml:space="preserve">Y4</t>
  </si>
  <si>
    <t xml:space="preserve">The angel wants 50% a year for five years. What stake should she receive for ₹120 lakh — and how much will later VC rounds dilute her?</t>
  </si>
  <si>
    <t xml:space="preserve">Search and negotiation (Principle 4): there is no market price for Vayu’s shares. The VC method on tab 3 turns projected Y8 profit, an exit multiple and the angel’s target return into an ownership stake. Smart money also brings governance, contacts and discipline.</t>
  </si>
  <si>
    <t xml:space="preserve">1. Why could the bank not fund this stage on its own?</t>
  </si>
  <si>
    <t xml:space="preserve">2. Using tab 3, what stake did the angel need at entry, and what was the implied pre-money value of Vayu?</t>
  </si>
  <si>
    <t xml:space="preserve">3. What did Arjun gain from the angel besides money?</t>
  </si>
  <si>
    <t xml:space="preserve">4. If the angel believed a P/E of 10 rather than 15, what would happen to Arjun’s stake?</t>
  </si>
  <si>
    <t xml:space="preserve">Stage 5 · Series A venture capital (Year 5)</t>
  </si>
  <si>
    <t xml:space="preserve">Life-cycle stage: Rapid growth   ·   Main funding: Venture capital (Series A) + cash credit</t>
  </si>
  <si>
    <t xml:space="preserve">A Bangalore-based early-growth fund — call it Deccan Growth Partners — led a ₹450 lakh Series A. The money built a new plant in Bommasandra (₹400 lakh) and funded entry into Hyderabad and Chennai with two large developers.</t>
  </si>
  <si>
    <t xml:space="preserve">The term sheet gave the fund a board seat, a 1x liquidation preference and standard information rights. Revenue reached ₹1,500 lakh, but the new plant and new-city receivables meant free cash flow was about minus ₹420 lakh — the deepest hole in Vayu’s history.</t>
  </si>
  <si>
    <t xml:space="preserve">Y5</t>
  </si>
  <si>
    <t xml:space="preserve">The fund asks Arjun to hit ₹2,600 lakh of revenue next year to "earn" a Series B at a higher valuation. Pushing sales through discounts and longer credit would do it. Should he?</t>
  </si>
  <si>
    <t xml:space="preserve">Risk and return (Principle 2): the fund’s 40% target is a required return, not a promise. Value (Principle 5): growth bought with low margins and longer credit can destroy value — see the ROIC vs WACC table on tab 5.</t>
  </si>
  <si>
    <t xml:space="preserve">1. Why does the Series A investor require 40% a year when a bank charges 10.5%?</t>
  </si>
  <si>
    <t xml:space="preserve">2. Compare the DCF pre-money value on tab 5 with the VC-method pre-money on tab 3. Why do they differ, and which would each side quote?</t>
  </si>
  <si>
    <t xml:space="preserve">3. What happens to Vayu’s working capital need if DSO stays at 90 days instead of falling to 85?</t>
  </si>
  <si>
    <t xml:space="preserve">4. What is a 1x liquidation preference, and why does it matter to Arjun?</t>
  </si>
  <si>
    <t xml:space="preserve">Stage 6 · Series B, cash generation and exit options (Years 6–8)</t>
  </si>
  <si>
    <t xml:space="preserve">Life-cycle stage: Early maturity   ·   Main funding: Series B, then internal cash</t>
  </si>
  <si>
    <t xml:space="preserve">A larger growth fund invested ₹350 lakh in Series B to add capacity. With a strong brand Vayu now collected advances, suppliers offered 45 days, and collections tightened. The cash conversion cycle fell steadily.</t>
  </si>
  <si>
    <t xml:space="preserve">Revenue grew to ₹2,600, ₹3,800 and ₹5,000 lakh. Operating cash flow turned positive in Y6 and free cash flow in Y7 — the first year Vayu funded its own growth. By Y8 three exit routes were on the table: a strategic sale to a national building-products company, a private-equity buyout, or an SME-platform IPO.</t>
  </si>
  <si>
    <t xml:space="preserve">Y6</t>
  </si>
  <si>
    <t xml:space="preserve">Y7</t>
  </si>
  <si>
    <t xml:space="preserve">Y8</t>
  </si>
  <si>
    <t xml:space="preserve">At 15x Y8 profit, what is Vayu worth, who gets what, and which exit should the board prefer?</t>
  </si>
  <si>
    <t xml:space="preserve">Exit is a different transaction from funding (Session 1): in a sale of existing shares the money goes to shareholders, not to Vayu. Value creation shows up as positive economic value added once ROIC exceeds WACC (tab 5).</t>
  </si>
  <si>
    <t xml:space="preserve">1. In which year did free cash flow turn positive, and what changed in working capital to make it happen?</t>
  </si>
  <si>
    <t xml:space="preserve">2. Using the cap table, what is Arjun’s ₹25 lakh worth at exit, and what IRR does that represent?</t>
  </si>
  <si>
    <t xml:space="preserve">3. Compare the IRR earned by the angel, Series A and Series B funds. Why are they different?</t>
  </si>
  <si>
    <t xml:space="preserve">4. If a buyer paid 10x instead of 15x, which shareholders lose most?</t>
  </si>
  <si>
    <t xml:space="preserve">Inputs and assumptions</t>
  </si>
  <si>
    <t xml:space="preserve">Blue cells are inputs. Every other tab is driven from here. ₹ lakh unless stated.</t>
  </si>
  <si>
    <t xml:space="preserve">₹ lakh</t>
  </si>
  <si>
    <t xml:space="preserve">Notes / source</t>
  </si>
  <si>
    <t xml:space="preserve">Operations</t>
  </si>
  <si>
    <t xml:space="preserve">Revenue (orders executed &amp; billed)</t>
  </si>
  <si>
    <t xml:space="preserve">Story: Y1 villas; Y2 first 120-unit project; Y3 brand; Y5 new plant &amp; new cities</t>
  </si>
  <si>
    <t xml:space="preserve">Gross margin %</t>
  </si>
  <si>
    <t xml:space="preserve">Price-taker vs brands in Y1; brand premium from Y3</t>
  </si>
  <si>
    <t xml:space="preserve">Employees &amp; overheads % of revenue</t>
  </si>
  <si>
    <t xml:space="preserve">Operating leverage: fixed costs spread over larger sales</t>
  </si>
  <si>
    <t xml:space="preserve">Marketing &amp; brand % of revenue</t>
  </si>
  <si>
    <t xml:space="preserve">Y3 showroom, warranty programme, architect meets</t>
  </si>
  <si>
    <t xml:space="preserve">Y2 CNC machine; Y4 second line; Y5 Bommasandra plant; Y6–8 capacity</t>
  </si>
  <si>
    <t xml:space="preserve">Working capital</t>
  </si>
  <si>
    <t xml:space="preserve">Receivable days (DSO) on revenue</t>
  </si>
  <si>
    <t xml:space="preserve">Builders pay on running bills; bigger builders stretch payment</t>
  </si>
  <si>
    <t xml:space="preserve">Retention money held by builders, % of revenue</t>
  </si>
  <si>
    <t xml:space="preserve">Typically held until project handover / defect liability period</t>
  </si>
  <si>
    <t xml:space="preserve">Inventory days (DIO) on COGS</t>
  </si>
  <si>
    <t xml:space="preserve">Extrusions, glass, hardware, WIP; falls with planning systems</t>
  </si>
  <si>
    <t xml:space="preserve">Payable days (DPO) on COGS</t>
  </si>
  <si>
    <t xml:space="preserve">New firm pays suppliers fast; credit improves with track record</t>
  </si>
  <si>
    <t xml:space="preserve">Customer advances, % of revenue</t>
  </si>
  <si>
    <t xml:space="preserve">Brand strength lets Vayu ask for mobilisation advances</t>
  </si>
  <si>
    <t xml:space="preserve">Funding plan (cash in)</t>
  </si>
  <si>
    <t xml:space="preserve">Founder equity (Arjun’s savings)</t>
  </si>
  <si>
    <t xml:space="preserve">Family &amp; friends equity</t>
  </si>
  <si>
    <t xml:space="preserve">Bank term loan drawdown</t>
  </si>
  <si>
    <t xml:space="preserve">Machinery loans (collateral-free MSE guarantee scheme assumed)</t>
  </si>
  <si>
    <t xml:space="preserve">Bank term loan repayment</t>
  </si>
  <si>
    <t xml:space="preserve">Cash credit (working-capital loan) closing balance</t>
  </si>
  <si>
    <t xml:space="preserve">Bank limit against receivables &amp; stock (drawing power)</t>
  </si>
  <si>
    <t xml:space="preserve">Angel equity</t>
  </si>
  <si>
    <t xml:space="preserve">Received at the start of Y4</t>
  </si>
  <si>
    <t xml:space="preserve">Series A venture capital</t>
  </si>
  <si>
    <t xml:space="preserve">Received at the start of Y5</t>
  </si>
  <si>
    <t xml:space="preserve">Series B venture capital</t>
  </si>
  <si>
    <t xml:space="preserve">Received at the start of Y6</t>
  </si>
  <si>
    <t xml:space="preserve">Cost of capital by stage</t>
  </si>
  <si>
    <t xml:space="preserve">Required return on equity (stage hurdle)</t>
  </si>
  <si>
    <t xml:space="preserve">Founder hurdle Y1–3; angel Y4; Series A Y5; Series B Y6; falls as risk resolves (illustrative)</t>
  </si>
  <si>
    <t xml:space="preserve">Debt weight D/(D+E) used for WACC</t>
  </si>
  <si>
    <t xml:space="preserve">Target weights by stage (illustrative)</t>
  </si>
  <si>
    <t xml:space="preserve">Founder salary actually drawn</t>
  </si>
  <si>
    <t xml:space="preserve">Included in employees &amp; overheads</t>
  </si>
  <si>
    <t xml:space="preserve">Single-value assumptions</t>
  </si>
  <si>
    <t xml:space="preserve">Corporate tax rate</t>
  </si>
  <si>
    <t xml:space="preserve">Simplified: tax on positive profit only, losses not carried forward</t>
  </si>
  <si>
    <t xml:space="preserve">Depreciation, % of gross block</t>
  </si>
  <si>
    <t xml:space="preserve">Straight-line ~10 years</t>
  </si>
  <si>
    <t xml:space="preserve">Term loan interest rate</t>
  </si>
  <si>
    <t xml:space="preserve">Illustrative bank rate</t>
  </si>
  <si>
    <t xml:space="preserve">Cash credit interest rate</t>
  </si>
  <si>
    <t xml:space="preserve">Minimum cash buffer</t>
  </si>
  <si>
    <t xml:space="preserve">Below this the venture is in danger</t>
  </si>
  <si>
    <t xml:space="preserve">Founder’s previous salary (opportunity cost)</t>
  </si>
  <si>
    <t xml:space="preserve">Salary given up at the developer</t>
  </si>
  <si>
    <t xml:space="preserve">Return on savings in a bank FD (opportunity cost)</t>
  </si>
  <si>
    <t xml:space="preserve">Safe alternative for the founder’s ₹25 lakh</t>
  </si>
  <si>
    <t xml:space="preserve">Stake given to family for ₹10 lakh</t>
  </si>
  <si>
    <t xml:space="preserve">Negotiated, not computed — family deal</t>
  </si>
  <si>
    <t xml:space="preserve">Risk-free rate</t>
  </si>
  <si>
    <t xml:space="preserve">Illustrative government bond yield</t>
  </si>
  <si>
    <t xml:space="preserve">Equity risk premium</t>
  </si>
  <si>
    <t xml:space="preserve">Illustrative</t>
  </si>
  <si>
    <t xml:space="preserve">Beta of a mature listed building-products peer</t>
  </si>
  <si>
    <t xml:space="preserve">Angel target return</t>
  </si>
  <si>
    <t xml:space="preserve">Typical textbook range for early-stage investors</t>
  </si>
  <si>
    <t xml:space="preserve">Series A target return</t>
  </si>
  <si>
    <t xml:space="preserve">Typical textbook range</t>
  </si>
  <si>
    <t xml:space="preserve">Series B target return</t>
  </si>
  <si>
    <t xml:space="preserve">Exit P/E multiple at end of Y8</t>
  </si>
  <si>
    <t xml:space="preserve">Assumed exit multiple for a profitable building-products company</t>
  </si>
  <si>
    <t xml:space="preserve">Long-term growth after Y8</t>
  </si>
  <si>
    <t xml:space="preserve">Terminal growth</t>
  </si>
  <si>
    <t xml:space="preserve">Long-run WACC after Y8</t>
  </si>
  <si>
    <t xml:space="preserve">Mature-company cost of capital for terminal value</t>
  </si>
  <si>
    <t xml:space="preserve">Discount rate for Y5–Y8 cash flows (stage-adjusted)</t>
  </si>
  <si>
    <t xml:space="preserve">Between VC hurdle and mature WACC</t>
  </si>
  <si>
    <t xml:space="preserve">1 · Revenue is not profit, profit is not cash</t>
  </si>
  <si>
    <t xml:space="preserve">Revenue, profit, growth, free cash flow, funding gap and how each gap was funded (₹ lakh)</t>
  </si>
  <si>
    <t xml:space="preserve">A. Profit and loss</t>
  </si>
  <si>
    <t xml:space="preserve">Cost of goods sold</t>
  </si>
  <si>
    <t xml:space="preserve">Gross profit</t>
  </si>
  <si>
    <t xml:space="preserve">Employees &amp; overheads</t>
  </si>
  <si>
    <t xml:space="preserve">Marketing &amp; brand</t>
  </si>
  <si>
    <t xml:space="preserve">Gross block (cumulative capex)</t>
  </si>
  <si>
    <t xml:space="preserve">Depreciation</t>
  </si>
  <si>
    <t xml:space="preserve">EBIT (operating profit)</t>
  </si>
  <si>
    <t xml:space="preserve">Term loan closing balance</t>
  </si>
  <si>
    <t xml:space="preserve">Cash credit closing balance</t>
  </si>
  <si>
    <t xml:space="preserve">Interest (on average balances)</t>
  </si>
  <si>
    <t xml:space="preserve">Profit before tax</t>
  </si>
  <si>
    <t xml:space="preserve">Tax</t>
  </si>
  <si>
    <t xml:space="preserve">PAT margin %</t>
  </si>
  <si>
    <t xml:space="preserve">B. Cash flow — where the profit went</t>
  </si>
  <si>
    <t xml:space="preserve">PAT</t>
  </si>
  <si>
    <t xml:space="preserve">Add: depreciation (non-cash)</t>
  </si>
  <si>
    <t xml:space="preserve">Less: increase in net working capital</t>
  </si>
  <si>
    <t xml:space="preserve">Cash flow from operations (CFO)</t>
  </si>
  <si>
    <t xml:space="preserve">Free cash flow before financing (EBITDA − tax − capex − ΔNWC)</t>
  </si>
  <si>
    <t xml:space="preserve">Cash the business generated (+) or consumed (−) before any funding</t>
  </si>
  <si>
    <t xml:space="preserve">Funding gap (cash the business could not generate)</t>
  </si>
  <si>
    <t xml:space="preserve">C. How the gap was funded</t>
  </si>
  <si>
    <t xml:space="preserve">Founder + family equity</t>
  </si>
  <si>
    <t xml:space="preserve">Term loan (drawdown − repayment)</t>
  </si>
  <si>
    <t xml:space="preserve">Cash credit (increase)</t>
  </si>
  <si>
    <t xml:space="preserve">Venture capital (Series A + B)</t>
  </si>
  <si>
    <t xml:space="preserve">Less: interest paid</t>
  </si>
  <si>
    <t xml:space="preserve">Net financing</t>
  </si>
  <si>
    <t xml:space="preserve">Opening cash</t>
  </si>
  <si>
    <t xml:space="preserve">Change in cash</t>
  </si>
  <si>
    <t xml:space="preserve">Cash buffer check</t>
  </si>
  <si>
    <t xml:space="preserve">D. The three numbers side by side</t>
  </si>
  <si>
    <t xml:space="preserve">Profit (PAT)</t>
  </si>
  <si>
    <t xml:space="preserve">Operating cash (CFO)</t>
  </si>
  <si>
    <t xml:space="preserve">Cumulative PAT since founding</t>
  </si>
  <si>
    <t xml:space="preserve">Cumulative CFO since founding</t>
  </si>
  <si>
    <t xml:space="preserve">Cumulative external funding (equity + net debt)</t>
  </si>
  <si>
    <t xml:space="preserve">CFO as % of PAT</t>
  </si>
  <si>
    <t xml:space="preserve">Below 0% = every rupee of profit is trapped in working capital</t>
  </si>
  <si>
    <t xml:space="preserve">Read the table: Vayu reports a profit from Y2, yet operating cash flow stays negative until Y6. Growth ties cash up in receivables, retention money and inventory faster than profit replaces it. Every year until Y7 someone else — Arjun, his family, the bank, the angel, the VCs — had to fund the gap.</t>
  </si>
  <si>
    <t xml:space="preserve">2 · Working capital, operating cycle and cash conversion cycle</t>
  </si>
  <si>
    <t xml:space="preserve">Why a growing, profitable builder-supplier runs out of cash (₹ lakh; days)</t>
  </si>
  <si>
    <t xml:space="preserve">A. Drivers</t>
  </si>
  <si>
    <t xml:space="preserve">COGS</t>
  </si>
  <si>
    <t xml:space="preserve">Receivable days (DSO)</t>
  </si>
  <si>
    <t xml:space="preserve">Retention money, in days of revenue</t>
  </si>
  <si>
    <t xml:space="preserve">Retention % × 365 — cash the builder keeps until handover</t>
  </si>
  <si>
    <t xml:space="preserve">Inventory days (DIO)</t>
  </si>
  <si>
    <t xml:space="preserve">Payable days (DPO)</t>
  </si>
  <si>
    <t xml:space="preserve">Customer advances, in days of revenue</t>
  </si>
  <si>
    <t xml:space="preserve">B. The cycles (days)</t>
  </si>
  <si>
    <t xml:space="preserve">Operating cycle = DIO + DSO + retention days</t>
  </si>
  <si>
    <t xml:space="preserve">Days from buying aluminium to collecting the last rupee from the builder</t>
  </si>
  <si>
    <t xml:space="preserve">Cash conversion cycle = operating cycle − DPO − advance days</t>
  </si>
  <si>
    <t xml:space="preserve">Days Vayu itself must finance</t>
  </si>
  <si>
    <t xml:space="preserve">C. Balances at year end</t>
  </si>
  <si>
    <t xml:space="preserve">Trade receivables</t>
  </si>
  <si>
    <t xml:space="preserve">Retention money receivable</t>
  </si>
  <si>
    <t xml:space="preserve">Inventory</t>
  </si>
  <si>
    <t xml:space="preserve">Less: trade payables</t>
  </si>
  <si>
    <t xml:space="preserve">Less: customer advances</t>
  </si>
  <si>
    <t xml:space="preserve">Net working capital (NWC)</t>
  </si>
  <si>
    <t xml:space="preserve">Increase in NWC (cash absorbed)</t>
  </si>
  <si>
    <t xml:space="preserve">NWC as % of revenue</t>
  </si>
  <si>
    <t xml:space="preserve">Cash tied up per ₹100 of extra sales</t>
  </si>
  <si>
    <t xml:space="preserve">Bank cash credit available (closing)</t>
  </si>
  <si>
    <t xml:space="preserve">Share of NWC funded by bank cash credit</t>
  </si>
  <si>
    <t xml:space="preserve">D. What-if: one management lever</t>
  </si>
  <si>
    <t xml:space="preserve">Year to test (1–8)</t>
  </si>
  <si>
    <t xml:space="preserve">Pick a year</t>
  </si>
  <si>
    <t xml:space="preserve">Reduce DSO by (days)</t>
  </si>
  <si>
    <t xml:space="preserve">e.g., stricter running-bill follow-up</t>
  </si>
  <si>
    <t xml:space="preserve">Cash released (₹ lakh)</t>
  </si>
  <si>
    <t xml:space="preserve">Revenue × days ÷ 365 — cash that need not be raised from investors</t>
  </si>
  <si>
    <t xml:space="preserve">Equivalent Series A money saved (%)</t>
  </si>
  <si>
    <t xml:space="preserve">Cash released as % of the ₹450 lakh Series A</t>
  </si>
  <si>
    <t xml:space="preserve">Lesson: in Y3 Vayu waits about 168 days from buying aluminium to collecting its last rupee, and must finance about 132 of those days itself. In Y2–Y4 every ₹100 of extra sales needed roughly ₹27–38 of extra working capital. The bank cash credit funded only part of it — the rest had to come from equity. Brand power (advances), supplier credit (DPO) and faster collections (DSO) shrink the cycle from Y5.</t>
  </si>
  <si>
    <t xml:space="preserve">3 · Raising equity on projections — the VC method</t>
  </si>
  <si>
    <t xml:space="preserve">Investors price each round from projected Y8 profit, a target return and expected later dilution (₹ lakh)</t>
  </si>
  <si>
    <t xml:space="preserve">A. The pitch: projections shown to investors</t>
  </si>
  <si>
    <t xml:space="preserve">Growth %</t>
  </si>
  <si>
    <t xml:space="preserve">Equity raised in the year</t>
  </si>
  <si>
    <t xml:space="preserve">B. Exit value at the end of Y8</t>
  </si>
  <si>
    <t xml:space="preserve">Projected PAT in Y8</t>
  </si>
  <si>
    <t xml:space="preserve">Exit P/E multiple</t>
  </si>
  <si>
    <t xml:space="preserve">Exit (terminal) equity value</t>
  </si>
  <si>
    <t xml:space="preserve">PAT × P/E — what a buyer might pay at the end of Y8</t>
  </si>
  <si>
    <t xml:space="preserve">C. Pricing each round (work from the last round backwards)</t>
  </si>
  <si>
    <t xml:space="preserve">Round</t>
  </si>
  <si>
    <t xml:space="preserve">Invested at start of</t>
  </si>
  <si>
    <t xml:space="preserve">Investment</t>
  </si>
  <si>
    <t xml:space="preserve">Target return</t>
  </si>
  <si>
    <t xml:space="preserve">Years to exit</t>
  </si>
  <si>
    <t xml:space="preserve">Required multiple</t>
  </si>
  <si>
    <t xml:space="preserve">Final ownership needed</t>
  </si>
  <si>
    <t xml:space="preserve">Retention (later dilution)</t>
  </si>
  <si>
    <t xml:space="preserve">Ownership at entry</t>
  </si>
  <si>
    <t xml:space="preserve">Post-money</t>
  </si>
  <si>
    <t xml:space="preserve">Pre-money</t>
  </si>
  <si>
    <t xml:space="preserve">Series B</t>
  </si>
  <si>
    <t xml:space="preserve">Series A</t>
  </si>
  <si>
    <t xml:space="preserve">Angel</t>
  </si>
  <si>
    <t xml:space="preserve">How to read it: the Series A investor wants 40% a year for 4 years = 3.8x the money. To own enough of the Y8 exit value after Series B dilutes everyone, the Series A must buy a larger stake at entry. Projections are the price tag: if the investor believes Y8 PAT will be lower, or applies a lower P/E, the founder gives away more of the company.</t>
  </si>
  <si>
    <t xml:space="preserve">D. Cap table — who owns Vayu after each round</t>
  </si>
  <si>
    <t xml:space="preserve">Shareholder</t>
  </si>
  <si>
    <t xml:space="preserve">After bootstrap (Y1)</t>
  </si>
  <si>
    <t xml:space="preserve">After angel (Y4)</t>
  </si>
  <si>
    <t xml:space="preserve">After Series A (Y5)</t>
  </si>
  <si>
    <t xml:space="preserve">After Series B (Y6)</t>
  </si>
  <si>
    <t xml:space="preserve">Capital invested</t>
  </si>
  <si>
    <t xml:space="preserve">Value at Y8 exit</t>
  </si>
  <si>
    <t xml:space="preserve">Money multiple</t>
  </si>
  <si>
    <t xml:space="preserve">Holding years</t>
  </si>
  <si>
    <t xml:space="preserve">IRR p.a.</t>
  </si>
  <si>
    <t xml:space="preserve">Arjun (founder)</t>
  </si>
  <si>
    <t xml:space="preserve">Family &amp; friends</t>
  </si>
  <si>
    <t xml:space="preserve">Series A fund</t>
  </si>
  <si>
    <t xml:space="preserve">Series B fund</t>
  </si>
  <si>
    <t xml:space="preserve">Total</t>
  </si>
  <si>
    <t xml:space="preserve">Notice: Arjun’s stake falls from 90% to just under half, yet his ₹25 lakh becomes worth many times more — the IRR column shows why he accepted dilution. A smaller slice of a much larger, better-funded company can be worth far more than all of a cash-starved one. Real term sheets add liquidation preferences, anti-dilution clauses and ESOP pools that this caselet leaves out.</t>
  </si>
  <si>
    <t xml:space="preserve">4 · Opportunity cost and the cost of capital</t>
  </si>
  <si>
    <t xml:space="preserve">Nothing is free: the founder’s time and savings, the bank’s money and the investors’ money each have a price (₹ lakh)</t>
  </si>
  <si>
    <t xml:space="preserve">A. Opportunity cost — Arjun’s economic profit</t>
  </si>
  <si>
    <t xml:space="preserve">Accounting profit (PAT)</t>
  </si>
  <si>
    <t xml:space="preserve">Salary given up (previous salary − salary drawn)</t>
  </si>
  <si>
    <t xml:space="preserve">Principle 1: capital and time have an opportunity cost</t>
  </si>
  <si>
    <t xml:space="preserve">Return given up on savings (₹25 lakh × FD rate)</t>
  </si>
  <si>
    <t xml:space="preserve">Total opportunity cost to the founder</t>
  </si>
  <si>
    <t xml:space="preserve">Economic profit to the founder (before outside equity)</t>
  </si>
  <si>
    <t xml:space="preserve">Negative = Arjun would have been better off staying employed — so far</t>
  </si>
  <si>
    <t xml:space="preserve">Cumulative economic profit</t>
  </si>
  <si>
    <t xml:space="preserve">B. Cost of debt</t>
  </si>
  <si>
    <t xml:space="preserve">Term loan balance</t>
  </si>
  <si>
    <t xml:space="preserve">Cash credit balance</t>
  </si>
  <si>
    <t xml:space="preserve">Pre-tax cost of debt (weighted)</t>
  </si>
  <si>
    <t xml:space="preserve">After-tax cost of debt</t>
  </si>
  <si>
    <t xml:space="preserve">Interest is tax-deductible</t>
  </si>
  <si>
    <t xml:space="preserve">C. Cost of equity</t>
  </si>
  <si>
    <t xml:space="preserve">CAPM cost of equity for a mature listed peer</t>
  </si>
  <si>
    <t xml:space="preserve">Rf + β × ERP: the floor once Vayu looks like a mature company</t>
  </si>
  <si>
    <t xml:space="preserve">Required return on equity at this stage</t>
  </si>
  <si>
    <t xml:space="preserve">Founder hurdle → angel → Series A → Series B → maturing</t>
  </si>
  <si>
    <t xml:space="preserve">Venture premium over CAPM</t>
  </si>
  <si>
    <t xml:space="preserve">Pays for risk of failure, illiquidity, investor time and optimistic projections</t>
  </si>
  <si>
    <t xml:space="preserve">D. Weighted average cost of capital (WACC)</t>
  </si>
  <si>
    <t xml:space="preserve">Debt weight D/(D+E)</t>
  </si>
  <si>
    <t xml:space="preserve">Equity weight E/(D+E)</t>
  </si>
  <si>
    <t xml:space="preserve">WACC</t>
  </si>
  <si>
    <t xml:space="preserve">Opportunity cost: the value of the best alternative given up. Arjun’s true cost of running Vayu in Y1 is not just the loss on paper — it is the ₹12 lakh salary he gave up and the interest his savings would have earned. Cost of capital is the same idea seen from the investor’s side: the return they could earn elsewhere at similar risk. Debt is cheaper because it is repaid first and interest saves tax; early equity is the most expensive money because it carries the most risk. As Vayu proves itself, the cost of capital falls — and that alone raises its value.</t>
  </si>
  <si>
    <t xml:space="preserve">5 · Present value of future cash flows — what value is and how it is created</t>
  </si>
  <si>
    <t xml:space="preserve">Valuation at the start of Y5 (the Series A date) and value creation year by year (₹ lakh)</t>
  </si>
  <si>
    <t xml:space="preserve">What is value? The value of a business today is the present value of the cash it will generate for its investors in the future, discounted at a rate that reflects the risk of those cash flows. Revenue, profit and growth matter only to the extent that they turn into cash — soon enough and safely enough. Value is created when the business earns a return on invested capital (ROIC) above its cost of capital (WACC).</t>
  </si>
  <si>
    <t xml:space="preserve">A. Discounted cash flow at the start of Y5</t>
  </si>
  <si>
    <t xml:space="preserve">Years from valuation date (t)</t>
  </si>
  <si>
    <t xml:space="preserve">Discount factor 1/(1+r)^t at stage rate</t>
  </si>
  <si>
    <t xml:space="preserve">Present value</t>
  </si>
  <si>
    <t xml:space="preserve">Stage-adjusted discount rate for Y5–Y8</t>
  </si>
  <si>
    <t xml:space="preserve">PV of Y5–Y8 cash flows</t>
  </si>
  <si>
    <t xml:space="preserve">Negative: the next four years consume cash</t>
  </si>
  <si>
    <t xml:space="preserve">Terminal value at end of Y8 = FCF Y8 × (1+g) ÷ (long-run WACC − g)</t>
  </si>
  <si>
    <t xml:space="preserve">Value of all cash flows after Y8, once Vayu is mature</t>
  </si>
  <si>
    <t xml:space="preserve">PV of terminal value</t>
  </si>
  <si>
    <t xml:space="preserve">Enterprise value (start of Y5)</t>
  </si>
  <si>
    <t xml:space="preserve">Value of the operating business</t>
  </si>
  <si>
    <t xml:space="preserve">Add: cash at end of Y4</t>
  </si>
  <si>
    <t xml:space="preserve">Less: bank debt at end of Y4</t>
  </si>
  <si>
    <t xml:space="preserve">Equity value before Series A money (pre-money, DCF)</t>
  </si>
  <si>
    <t xml:space="preserve">Compare: Series A pre-money from the VC method</t>
  </si>
  <si>
    <t xml:space="preserve">Different methods, different answers — the gap is what gets negotiated (Principle 4)</t>
  </si>
  <si>
    <t xml:space="preserve">Share of value from the terminal value</t>
  </si>
  <si>
    <t xml:space="preserve">Above 100% because Y5–Y8 cash flows are negative: all of the value lies beyond the forecast horizon, where it is least certain</t>
  </si>
  <si>
    <t xml:space="preserve">B. Sensitivity — enterprise value at the start of Y5 (rows: stage discount rate · columns: long-term growth)</t>
  </si>
  <si>
    <t xml:space="preserve">Discount rate ↓  /  growth →</t>
  </si>
  <si>
    <t xml:space="preserve">Higher risk (discount rate) lowers value; growth adds value only when the business earns more than its cost of capital (next tables). Terminal value uses the long-run WACC on the Inputs tab, so the long-run WACC must stay above growth.</t>
  </si>
  <si>
    <t xml:space="preserve">C. Value creation year by year — ROIC versus WACC</t>
  </si>
  <si>
    <t xml:space="preserve">EBIT</t>
  </si>
  <si>
    <t xml:space="preserve">NOPAT = EBIT × (1 − tax)</t>
  </si>
  <si>
    <t xml:space="preserve">Net fixed assets</t>
  </si>
  <si>
    <t xml:space="preserve">Net working capital</t>
  </si>
  <si>
    <t xml:space="preserve">Invested capital (closing)</t>
  </si>
  <si>
    <t xml:space="preserve">Average invested capital</t>
  </si>
  <si>
    <t xml:space="preserve">ROIC = NOPAT ÷ average invested capital</t>
  </si>
  <si>
    <t xml:space="preserve">WACC (from tab 4)</t>
  </si>
  <si>
    <t xml:space="preserve">Spread = ROIC − WACC</t>
  </si>
  <si>
    <t xml:space="preserve">Economic value added = spread × average invested capital</t>
  </si>
  <si>
    <t xml:space="preserve">Negative early: growth is still being paid for. Positive once margins, cycle and cost of capital improve</t>
  </si>
  <si>
    <t xml:space="preserve">D. When does growth create value? Value = NOPAT₁ × (1 − g ÷ ROIC) ÷ (WACC − g)</t>
  </si>
  <si>
    <t xml:space="preserve">Next-year NOPAT (₹ lakh)</t>
  </si>
  <si>
    <t xml:space="preserve">ROIC ↓  /  growth →</t>
  </si>
  <si>
    <t xml:space="preserve">Read across each row: when ROIC (10%) is below WACC (15%), faster growth LOWERS value — growth by discounting destroys value. When ROIC equals WACC, growth changes nothing. Only when ROIC exceeds WACC does growth create value. This is Principle 5: the goal is value, not sales.</t>
  </si>
  <si>
    <t xml:space="preserve">E. How Vayu created value — the five levers</t>
  </si>
  <si>
    <t xml:space="preserve">1. Raise margins: the brand moved gross margin from 22% to 30% (pricing power, fewer discounts).</t>
  </si>
  <si>
    <t xml:space="preserve">2. Shrink the cash cycle: advances, supplier credit and faster collections cut the cash conversion cycle from about 138 days (Y2) to about 64 days (Y8).</t>
  </si>
  <si>
    <t xml:space="preserve">3. Spend capital where ROIC &gt; WACC: each new line and plant is justified only if it earns more than its cost of capital.</t>
  </si>
  <si>
    <t xml:space="preserve">4. Lower risk, lower cost of capital: a track record, governance and audited numbers move the hurdle from 50% towards CAPM.</t>
  </si>
  <si>
    <t xml:space="preserve">5. Fund at the right time with the right money: debt for assets and working capital the bank can see; equity for risk the bank cannot carry.</t>
  </si>
</sst>
</file>

<file path=xl/styles.xml><?xml version="1.0" encoding="utf-8"?>
<styleSheet xmlns="http://schemas.openxmlformats.org/spreadsheetml/2006/main">
  <numFmts count="11">
    <numFmt numFmtId="164" formatCode="General"/>
    <numFmt numFmtId="165" formatCode="#,##0.0;\(#,##0.0\);\-"/>
    <numFmt numFmtId="166" formatCode="0.0%;\(0.0%\);\-"/>
    <numFmt numFmtId="167" formatCode="0;\(0\);\-"/>
    <numFmt numFmtId="168" formatCode="0.00"/>
    <numFmt numFmtId="169" formatCode="0.0\x"/>
    <numFmt numFmtId="170" formatCode="@"/>
    <numFmt numFmtId="171" formatCode="0"/>
    <numFmt numFmtId="172" formatCode="0%"/>
    <numFmt numFmtId="173" formatCode="0.000"/>
    <numFmt numFmtId="174" formatCode="#,##0;\(#,##0\);\-"/>
  </numFmts>
  <fonts count="24">
    <font>
      <sz val="11"/>
      <color theme="1"/>
      <name val="Calibri"/>
      <family val="2"/>
      <charset val="1"/>
    </font>
    <font>
      <sz val="10"/>
      <name val="Arial"/>
      <family val="0"/>
    </font>
    <font>
      <sz val="10"/>
      <name val="Arial"/>
      <family val="0"/>
    </font>
    <font>
      <sz val="10"/>
      <name val="Arial"/>
      <family val="0"/>
    </font>
    <font>
      <b val="true"/>
      <sz val="18"/>
      <color rgb="FF1F245B"/>
      <name val="Arial"/>
      <family val="0"/>
      <charset val="1"/>
    </font>
    <font>
      <i val="true"/>
      <sz val="11"/>
      <color rgb="FF555555"/>
      <name val="Arial"/>
      <family val="0"/>
      <charset val="1"/>
    </font>
    <font>
      <sz val="11"/>
      <name val="Arial"/>
      <family val="0"/>
      <charset val="1"/>
    </font>
    <font>
      <b val="true"/>
      <sz val="10"/>
      <color rgb="FFFFFFFF"/>
      <name val="Arial"/>
      <family val="0"/>
      <charset val="1"/>
    </font>
    <font>
      <b val="true"/>
      <u val="single"/>
      <sz val="10"/>
      <color rgb="FF196784"/>
      <name val="Arial"/>
      <family val="0"/>
      <charset val="1"/>
    </font>
    <font>
      <sz val="10"/>
      <name val="Arial"/>
      <family val="0"/>
      <charset val="1"/>
    </font>
    <font>
      <b val="true"/>
      <sz val="10"/>
      <name val="Arial"/>
      <family val="0"/>
      <charset val="1"/>
    </font>
    <font>
      <b val="true"/>
      <sz val="10"/>
      <color rgb="FF0000FF"/>
      <name val="Arial"/>
      <family val="0"/>
      <charset val="1"/>
    </font>
    <font>
      <b val="true"/>
      <sz val="10"/>
      <color rgb="FF008000"/>
      <name val="Arial"/>
      <family val="0"/>
      <charset val="1"/>
    </font>
    <font>
      <b val="true"/>
      <sz val="16"/>
      <color rgb="FF1F245B"/>
      <name val="Arial"/>
      <family val="0"/>
      <charset val="1"/>
    </font>
    <font>
      <b val="true"/>
      <sz val="11"/>
      <color rgb="FFFFFFFF"/>
      <name val="Arial"/>
      <family val="0"/>
      <charset val="1"/>
    </font>
    <font>
      <sz val="11"/>
      <color rgb="FF000000"/>
      <name val="Arial"/>
      <family val="0"/>
      <charset val="1"/>
    </font>
    <font>
      <sz val="10"/>
      <color rgb="FF008000"/>
      <name val="Arial"/>
      <family val="0"/>
      <charset val="1"/>
    </font>
    <font>
      <sz val="10"/>
      <color rgb="FF0000FF"/>
      <name val="Arial"/>
      <family val="0"/>
      <charset val="1"/>
    </font>
    <font>
      <i val="true"/>
      <sz val="9"/>
      <color rgb="FF555555"/>
      <name val="Arial"/>
      <family val="0"/>
      <charset val="1"/>
    </font>
    <font>
      <sz val="10"/>
      <color rgb="FF000000"/>
      <name val="Arial"/>
      <family val="0"/>
      <charset val="1"/>
    </font>
    <font>
      <b val="true"/>
      <sz val="18"/>
      <color rgb="FF000000"/>
      <name val="Calibri"/>
      <family val="2"/>
    </font>
    <font>
      <sz val="10"/>
      <color rgb="FF000000"/>
      <name val="Calibri"/>
      <family val="2"/>
    </font>
    <font>
      <b val="true"/>
      <sz val="10"/>
      <color rgb="FF000000"/>
      <name val="Calibri"/>
      <family val="2"/>
    </font>
    <font>
      <b val="true"/>
      <sz val="10"/>
      <color rgb="FF000000"/>
      <name val="Arial"/>
      <family val="0"/>
      <charset val="1"/>
    </font>
  </fonts>
  <fills count="7">
    <fill>
      <patternFill patternType="none"/>
    </fill>
    <fill>
      <patternFill patternType="gray125"/>
    </fill>
    <fill>
      <patternFill patternType="solid">
        <fgColor rgb="FF196784"/>
        <bgColor rgb="FF008080"/>
      </patternFill>
    </fill>
    <fill>
      <patternFill patternType="solid">
        <fgColor rgb="FFFFFF99"/>
        <bgColor rgb="FFFFF4E0"/>
      </patternFill>
    </fill>
    <fill>
      <patternFill patternType="solid">
        <fgColor rgb="FF1F245B"/>
        <bgColor rgb="FF003366"/>
      </patternFill>
    </fill>
    <fill>
      <patternFill patternType="solid">
        <fgColor rgb="FFFFF4E0"/>
        <bgColor rgb="FFFFFFFF"/>
      </patternFill>
    </fill>
    <fill>
      <patternFill patternType="solid">
        <fgColor rgb="FFEAF3F7"/>
        <bgColor rgb="FFFFF4E0"/>
      </patternFill>
    </fill>
  </fills>
  <borders count="2">
    <border diagonalUp="false" diagonalDown="false">
      <left/>
      <right/>
      <top/>
      <bottom/>
      <diagonal/>
    </border>
    <border diagonalUp="false" diagonalDown="false">
      <left style="thin">
        <color rgb="FFC8D6DE"/>
      </left>
      <right style="thin">
        <color rgb="FFC8D6DE"/>
      </right>
      <top style="thin">
        <color rgb="FFC8D6DE"/>
      </top>
      <bottom style="thin">
        <color rgb="FFC8D6D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center" vertical="bottom" textRotation="0" wrapText="false" indent="0" shrinkToFit="false"/>
      <protection locked="true" hidden="false"/>
    </xf>
    <xf numFmtId="165" fontId="16" fillId="0" borderId="1" xfId="0" applyFont="true" applyBorder="true" applyAlignment="false" applyProtection="false">
      <alignment horizontal="general" vertical="bottom" textRotation="0" wrapText="false" indent="0" shrinkToFit="false"/>
      <protection locked="true" hidden="false"/>
    </xf>
    <xf numFmtId="166" fontId="16" fillId="0" borderId="1" xfId="0" applyFont="true" applyBorder="true" applyAlignment="false" applyProtection="false">
      <alignment horizontal="general" vertical="bottom" textRotation="0" wrapText="false" indent="0" shrinkToFit="false"/>
      <protection locked="true" hidden="false"/>
    </xf>
    <xf numFmtId="167" fontId="16" fillId="0" borderId="1" xfId="0" applyFont="true" applyBorder="true" applyAlignment="false" applyProtection="false">
      <alignment horizontal="general" vertical="bottom" textRotation="0" wrapText="false" indent="0" shrinkToFit="false"/>
      <protection locked="true" hidden="false"/>
    </xf>
    <xf numFmtId="164" fontId="15" fillId="5" borderId="0" xfId="0" applyFont="true" applyBorder="true" applyAlignment="true" applyProtection="false">
      <alignment horizontal="general" vertical="top" textRotation="0" wrapText="true" indent="0" shrinkToFit="false"/>
      <protection locked="true" hidden="false"/>
    </xf>
    <xf numFmtId="164" fontId="15" fillId="6" borderId="0" xfId="0" applyFont="true" applyBorder="tru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left" vertical="bottom" textRotation="0" wrapText="false" indent="0" shrinkToFit="false"/>
      <protection locked="true" hidden="false"/>
    </xf>
    <xf numFmtId="165" fontId="17" fillId="0" borderId="1" xfId="0" applyFont="true" applyBorder="true" applyAlignment="false" applyProtection="false">
      <alignment horizontal="general" vertical="bottom" textRotation="0" wrapText="false" indent="0" shrinkToFit="false"/>
      <protection locked="true" hidden="false"/>
    </xf>
    <xf numFmtId="164" fontId="18" fillId="0" borderId="0" xfId="0" applyFont="true" applyBorder="false" applyAlignment="true" applyProtection="false">
      <alignment horizontal="general" vertical="top" textRotation="0" wrapText="true" indent="0" shrinkToFit="false"/>
      <protection locked="true" hidden="false"/>
    </xf>
    <xf numFmtId="166" fontId="17" fillId="0" borderId="1" xfId="0" applyFont="true" applyBorder="true" applyAlignment="false" applyProtection="false">
      <alignment horizontal="general" vertical="bottom" textRotation="0" wrapText="false" indent="0" shrinkToFit="false"/>
      <protection locked="true" hidden="false"/>
    </xf>
    <xf numFmtId="167" fontId="17" fillId="0" borderId="1" xfId="0" applyFont="true" applyBorder="true" applyAlignment="false" applyProtection="false">
      <alignment horizontal="general" vertical="bottom" textRotation="0" wrapText="false" indent="0" shrinkToFit="false"/>
      <protection locked="true" hidden="false"/>
    </xf>
    <xf numFmtId="164" fontId="18" fillId="0" borderId="0" xfId="0" applyFont="true" applyBorder="true" applyAlignment="false" applyProtection="false">
      <alignment horizontal="general" vertical="bottom" textRotation="0" wrapText="false" indent="0" shrinkToFit="false"/>
      <protection locked="true" hidden="false"/>
    </xf>
    <xf numFmtId="165" fontId="17" fillId="3" borderId="1" xfId="0" applyFont="true" applyBorder="true" applyAlignment="false" applyProtection="false">
      <alignment horizontal="general" vertical="bottom" textRotation="0" wrapText="false" indent="0" shrinkToFit="false"/>
      <protection locked="true" hidden="false"/>
    </xf>
    <xf numFmtId="166" fontId="17" fillId="3" borderId="1" xfId="0" applyFont="true" applyBorder="true" applyAlignment="false" applyProtection="false">
      <alignment horizontal="general" vertical="bottom" textRotation="0" wrapText="false" indent="0" shrinkToFit="false"/>
      <protection locked="true" hidden="false"/>
    </xf>
    <xf numFmtId="168" fontId="17" fillId="0" borderId="1" xfId="0" applyFont="true" applyBorder="true" applyAlignment="false" applyProtection="false">
      <alignment horizontal="general" vertical="bottom" textRotation="0" wrapText="false" indent="0" shrinkToFit="false"/>
      <protection locked="true" hidden="false"/>
    </xf>
    <xf numFmtId="169" fontId="17" fillId="3" borderId="1" xfId="0" applyFont="true" applyBorder="true" applyAlignment="false" applyProtection="false">
      <alignment horizontal="general" vertical="bottom" textRotation="0" wrapText="false" indent="0" shrinkToFit="false"/>
      <protection locked="true" hidden="false"/>
    </xf>
    <xf numFmtId="165" fontId="12" fillId="0" borderId="1" xfId="0" applyFont="true" applyBorder="true" applyAlignment="false" applyProtection="false">
      <alignment horizontal="general" vertical="bottom" textRotation="0" wrapText="fals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5" fontId="10" fillId="5" borderId="1" xfId="0" applyFont="true" applyBorder="true" applyAlignment="false" applyProtection="false">
      <alignment horizontal="general" vertical="bottom" textRotation="0" wrapText="false" indent="0" shrinkToFit="false"/>
      <protection locked="true" hidden="false"/>
    </xf>
    <xf numFmtId="170" fontId="16" fillId="0" borderId="1" xfId="0" applyFont="true" applyBorder="true" applyAlignment="false" applyProtection="false">
      <alignment horizontal="general" vertical="bottom" textRotation="0" wrapText="false" indent="0" shrinkToFit="false"/>
      <protection locked="true" hidden="false"/>
    </xf>
    <xf numFmtId="164" fontId="19" fillId="6" borderId="0" xfId="0" applyFont="true" applyBorder="true" applyAlignment="true" applyProtection="false">
      <alignment horizontal="general" vertical="top" textRotation="0" wrapText="true" indent="0" shrinkToFit="false"/>
      <protection locked="true" hidden="false"/>
    </xf>
    <xf numFmtId="167" fontId="10" fillId="5" borderId="1" xfId="0" applyFont="true" applyBorder="true" applyAlignment="false" applyProtection="false">
      <alignment horizontal="general" vertical="bottom" textRotation="0" wrapText="false" indent="0" shrinkToFit="false"/>
      <protection locked="true" hidden="false"/>
    </xf>
    <xf numFmtId="171" fontId="17" fillId="0" borderId="1" xfId="0" applyFont="true" applyBorder="true" applyAlignment="false" applyProtection="false">
      <alignment horizontal="general" vertical="bottom" textRotation="0" wrapText="false" indent="0" shrinkToFit="false"/>
      <protection locked="true" hidden="false"/>
    </xf>
    <xf numFmtId="165" fontId="19" fillId="0" borderId="1" xfId="0" applyFont="true" applyBorder="true" applyAlignment="false" applyProtection="false">
      <alignment horizontal="general" vertical="bottom" textRotation="0" wrapText="false" indent="0" shrinkToFit="false"/>
      <protection locked="true" hidden="false"/>
    </xf>
    <xf numFmtId="169" fontId="16" fillId="0" borderId="1" xfId="0" applyFont="true" applyBorder="tru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center" vertical="bottom" textRotation="0" wrapText="true" indent="0" shrinkToFit="false"/>
      <protection locked="true" hidden="false"/>
    </xf>
    <xf numFmtId="169" fontId="9" fillId="0" borderId="1" xfId="0" applyFont="true" applyBorder="true" applyAlignment="false" applyProtection="false">
      <alignment horizontal="general" vertical="bottom" textRotation="0" wrapText="false" indent="0" shrinkToFit="false"/>
      <protection locked="true" hidden="false"/>
    </xf>
    <xf numFmtId="166" fontId="9" fillId="5" borderId="1" xfId="0" applyFont="true" applyBorder="tru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6" fontId="10" fillId="5" borderId="1" xfId="0" applyFont="true" applyBorder="true" applyAlignment="false" applyProtection="false">
      <alignment horizontal="general" vertical="bottom" textRotation="0" wrapText="false" indent="0" shrinkToFit="false"/>
      <protection locked="true" hidden="false"/>
    </xf>
    <xf numFmtId="171" fontId="19" fillId="0" borderId="1" xfId="0" applyFont="true" applyBorder="true" applyAlignment="false" applyProtection="false">
      <alignment horizontal="general" vertical="bottom" textRotation="0" wrapText="false" indent="0" shrinkToFit="false"/>
      <protection locked="true" hidden="false"/>
    </xf>
    <xf numFmtId="173" fontId="16" fillId="0" borderId="1" xfId="0" applyFont="true" applyBorder="true" applyAlignment="false" applyProtection="false">
      <alignment horizontal="general" vertical="bottom" textRotation="0" wrapText="false" indent="0" shrinkToFit="false"/>
      <protection locked="true" hidden="false"/>
    </xf>
    <xf numFmtId="165" fontId="23" fillId="0" borderId="1" xfId="0" applyFont="true" applyBorder="true" applyAlignment="false" applyProtection="false">
      <alignment horizontal="general" vertical="bottom" textRotation="0" wrapText="false" indent="0" shrinkToFit="false"/>
      <protection locked="true" hidden="false"/>
    </xf>
    <xf numFmtId="165" fontId="19" fillId="5" borderId="1" xfId="0" applyFont="true" applyBorder="true" applyAlignment="false" applyProtection="false">
      <alignment horizontal="general" vertical="bottom" textRotation="0" wrapText="false" indent="0" shrinkToFit="false"/>
      <protection locked="true" hidden="false"/>
    </xf>
    <xf numFmtId="166" fontId="19" fillId="0" borderId="1" xfId="0" applyFont="true" applyBorder="true" applyAlignment="false" applyProtection="false">
      <alignment horizontal="general" vertical="bottom" textRotation="0" wrapText="false" indent="0" shrinkToFit="false"/>
      <protection locked="true" hidden="false"/>
    </xf>
    <xf numFmtId="166" fontId="11" fillId="3" borderId="0" xfId="0" applyFont="true" applyBorder="false" applyAlignment="false" applyProtection="false">
      <alignment horizontal="general" vertical="bottom" textRotation="0" wrapText="false" indent="0" shrinkToFit="false"/>
      <protection locked="true" hidden="false"/>
    </xf>
    <xf numFmtId="174" fontId="9" fillId="0" borderId="1" xfId="0" applyFont="true" applyBorder="true" applyAlignment="false" applyProtection="false">
      <alignment horizontal="general" vertical="bottom" textRotation="0" wrapText="false" indent="0" shrinkToFit="false"/>
      <protection locked="true" hidden="false"/>
    </xf>
    <xf numFmtId="172" fontId="11" fillId="3"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96784"/>
      <rgbColor rgb="FFD9D9D9"/>
      <rgbColor rgb="FF878787"/>
      <rgbColor rgb="FF9999FF"/>
      <rgbColor rgb="FFBE4B48"/>
      <rgbColor rgb="FFFFF4E0"/>
      <rgbColor rgb="FFEAF3F7"/>
      <rgbColor rgb="FF660066"/>
      <rgbColor rgb="FFFF8080"/>
      <rgbColor rgb="FF0066CC"/>
      <rgbColor rgb="FFC8D6D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A7EBB"/>
      <rgbColor rgb="FF4BACC6"/>
      <rgbColor rgb="FF98B855"/>
      <rgbColor rgb="FFFFC000"/>
      <rgbColor rgb="FFF5A623"/>
      <rgbColor rgb="FFFF6600"/>
      <rgbColor rgb="FF8064A2"/>
      <rgbColor rgb="FF9BBB59"/>
      <rgbColor rgb="FF003366"/>
      <rgbColor rgb="FF4F81BD"/>
      <rgbColor rgb="FF003300"/>
      <rgbColor rgb="FF333300"/>
      <rgbColor rgb="FF993300"/>
      <rgbColor rgb="FFC0504D"/>
      <rgbColor rgb="FF555555"/>
      <rgbColor rgb="FF1F245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Revenue vs PAT vs Operating cash (₹ lakh)</a:t>
            </a:r>
          </a:p>
        </c:rich>
      </c:tx>
      <c:overlay val="0"/>
      <c:spPr>
        <a:noFill/>
        <a:ln w="0">
          <a:noFill/>
        </a:ln>
      </c:spPr>
    </c:title>
    <c:autoTitleDeleted val="0"/>
    <c:plotArea>
      <c:barChart>
        <c:barDir val="col"/>
        <c:grouping val="clustered"/>
        <c:varyColors val="0"/>
        <c:ser>
          <c:idx val="0"/>
          <c:order val="0"/>
          <c:tx>
            <c:strRef>
              <c:f>1_Rev_Profit_Cash!B46</c:f>
              <c:strCache>
                <c:ptCount val="1"/>
                <c:pt idx="0">
                  <c:v>Revenue</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1_Rev_Profit_Cash!$C$4:$J$4</c:f>
              <c:strCache>
                <c:ptCount val="8"/>
                <c:pt idx="0">
                  <c:v>Y1</c:v>
                </c:pt>
                <c:pt idx="1">
                  <c:v>Y2</c:v>
                </c:pt>
                <c:pt idx="2">
                  <c:v>Y3</c:v>
                </c:pt>
                <c:pt idx="3">
                  <c:v>Y4</c:v>
                </c:pt>
                <c:pt idx="4">
                  <c:v>Y5</c:v>
                </c:pt>
                <c:pt idx="5">
                  <c:v>Y6</c:v>
                </c:pt>
                <c:pt idx="6">
                  <c:v>Y7</c:v>
                </c:pt>
                <c:pt idx="7">
                  <c:v>Y8</c:v>
                </c:pt>
              </c:strCache>
            </c:strRef>
          </c:cat>
          <c:val>
            <c:numRef>
              <c:f>1_Rev_Profit_Cash!$C$46:$J$46</c:f>
              <c:numCache>
                <c:formatCode>#,##0.0;\(#,##0.0\);\-</c:formatCode>
                <c:ptCount val="8"/>
                <c:pt idx="0">
                  <c:v>60</c:v>
                </c:pt>
                <c:pt idx="1">
                  <c:v>180</c:v>
                </c:pt>
                <c:pt idx="2">
                  <c:v>420</c:v>
                </c:pt>
                <c:pt idx="3">
                  <c:v>800</c:v>
                </c:pt>
                <c:pt idx="4">
                  <c:v>1500</c:v>
                </c:pt>
                <c:pt idx="5">
                  <c:v>2600</c:v>
                </c:pt>
                <c:pt idx="6">
                  <c:v>3800</c:v>
                </c:pt>
                <c:pt idx="7">
                  <c:v>5000</c:v>
                </c:pt>
              </c:numCache>
            </c:numRef>
          </c:val>
        </c:ser>
        <c:ser>
          <c:idx val="1"/>
          <c:order val="1"/>
          <c:tx>
            <c:strRef>
              <c:f>1_Rev_Profit_Cash!B47</c:f>
              <c:strCache>
                <c:ptCount val="1"/>
                <c:pt idx="0">
                  <c:v>Profit (PAT)</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1_Rev_Profit_Cash!$C$4:$J$4</c:f>
              <c:strCache>
                <c:ptCount val="8"/>
                <c:pt idx="0">
                  <c:v>Y1</c:v>
                </c:pt>
                <c:pt idx="1">
                  <c:v>Y2</c:v>
                </c:pt>
                <c:pt idx="2">
                  <c:v>Y3</c:v>
                </c:pt>
                <c:pt idx="3">
                  <c:v>Y4</c:v>
                </c:pt>
                <c:pt idx="4">
                  <c:v>Y5</c:v>
                </c:pt>
                <c:pt idx="5">
                  <c:v>Y6</c:v>
                </c:pt>
                <c:pt idx="6">
                  <c:v>Y7</c:v>
                </c:pt>
                <c:pt idx="7">
                  <c:v>Y8</c:v>
                </c:pt>
              </c:strCache>
            </c:strRef>
          </c:cat>
          <c:val>
            <c:numRef>
              <c:f>1_Rev_Profit_Cash!$C$47:$J$47</c:f>
              <c:numCache>
                <c:formatCode>#,##0.0;\(#,##0.0\);\-</c:formatCode>
                <c:ptCount val="8"/>
                <c:pt idx="0">
                  <c:v>-4.40000000000001</c:v>
                </c:pt>
                <c:pt idx="1">
                  <c:v>0.0937499999999923</c:v>
                </c:pt>
                <c:pt idx="2">
                  <c:v>6.48937500000002</c:v>
                </c:pt>
                <c:pt idx="3">
                  <c:v>27.06375</c:v>
                </c:pt>
                <c:pt idx="4">
                  <c:v>66.42375</c:v>
                </c:pt>
                <c:pt idx="5">
                  <c:v>194.495625</c:v>
                </c:pt>
                <c:pt idx="6">
                  <c:v>338.308125</c:v>
                </c:pt>
                <c:pt idx="7">
                  <c:v>503.068125</c:v>
                </c:pt>
              </c:numCache>
            </c:numRef>
          </c:val>
        </c:ser>
        <c:ser>
          <c:idx val="2"/>
          <c:order val="2"/>
          <c:tx>
            <c:strRef>
              <c:f>1_Rev_Profit_Cash!B48</c:f>
              <c:strCache>
                <c:ptCount val="1"/>
                <c:pt idx="0">
                  <c:v>Operating cash (CFO)</c:v>
                </c:pt>
              </c:strCache>
            </c:strRef>
          </c:tx>
          <c:spPr>
            <a:solidFill>
              <a:srgbClr val="9bbb5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1_Rev_Profit_Cash!$C$4:$J$4</c:f>
              <c:strCache>
                <c:ptCount val="8"/>
                <c:pt idx="0">
                  <c:v>Y1</c:v>
                </c:pt>
                <c:pt idx="1">
                  <c:v>Y2</c:v>
                </c:pt>
                <c:pt idx="2">
                  <c:v>Y3</c:v>
                </c:pt>
                <c:pt idx="3">
                  <c:v>Y4</c:v>
                </c:pt>
                <c:pt idx="4">
                  <c:v>Y5</c:v>
                </c:pt>
                <c:pt idx="5">
                  <c:v>Y6</c:v>
                </c:pt>
                <c:pt idx="6">
                  <c:v>Y7</c:v>
                </c:pt>
                <c:pt idx="7">
                  <c:v>Y8</c:v>
                </c:pt>
              </c:strCache>
            </c:strRef>
          </c:cat>
          <c:val>
            <c:numRef>
              <c:f>1_Rev_Profit_Cash!$C$48:$J$48</c:f>
              <c:numCache>
                <c:formatCode>#,##0.0;\(#,##0.0\);\-</c:formatCode>
                <c:ptCount val="8"/>
                <c:pt idx="0">
                  <c:v>-22.7753424657534</c:v>
                </c:pt>
                <c:pt idx="1">
                  <c:v>-42.0583047945206</c:v>
                </c:pt>
                <c:pt idx="2">
                  <c:v>-64.4982962328767</c:v>
                </c:pt>
                <c:pt idx="3">
                  <c:v>-55.3239212328767</c:v>
                </c:pt>
                <c:pt idx="4">
                  <c:v>-51.9337842465754</c:v>
                </c:pt>
                <c:pt idx="5">
                  <c:v>118.398364726028</c:v>
                </c:pt>
                <c:pt idx="6">
                  <c:v>347.005385273973</c:v>
                </c:pt>
                <c:pt idx="7">
                  <c:v>493.77908390411</c:v>
                </c:pt>
              </c:numCache>
            </c:numRef>
          </c:val>
        </c:ser>
        <c:gapWidth val="150"/>
        <c:overlap val="0"/>
        <c:axId val="7272807"/>
        <c:axId val="7029814"/>
      </c:barChart>
      <c:catAx>
        <c:axId val="727280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029814"/>
        <c:crosses val="autoZero"/>
        <c:auto val="1"/>
        <c:lblAlgn val="ctr"/>
        <c:lblOffset val="100"/>
        <c:noMultiLvlLbl val="0"/>
      </c:catAx>
      <c:valAx>
        <c:axId val="7029814"/>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 lakh</a:t>
                </a:r>
              </a:p>
            </c:rich>
          </c:tx>
          <c:overlay val="0"/>
          <c:spPr>
            <a:noFill/>
            <a:ln w="0">
              <a:noFill/>
            </a:ln>
          </c:spPr>
        </c:title>
        <c:numFmt formatCode="#,##0.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272807"/>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Funding gap vs funding raised (₹ lakh)</a:t>
            </a:r>
          </a:p>
        </c:rich>
      </c:tx>
      <c:overlay val="0"/>
      <c:spPr>
        <a:noFill/>
        <a:ln w="0">
          <a:noFill/>
        </a:ln>
      </c:spPr>
    </c:title>
    <c:autoTitleDeleted val="0"/>
    <c:plotArea>
      <c:barChart>
        <c:barDir val="col"/>
        <c:grouping val="clustered"/>
        <c:varyColors val="0"/>
        <c:ser>
          <c:idx val="0"/>
          <c:order val="0"/>
          <c:tx>
            <c:strRef>
              <c:f>1_Rev_Profit_Cash!B30</c:f>
              <c:strCache>
                <c:ptCount val="1"/>
                <c:pt idx="0">
                  <c:v>Funding gap (cash the business could not generate)</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1_Rev_Profit_Cash!$C$4:$J$4</c:f>
              <c:strCache>
                <c:ptCount val="8"/>
                <c:pt idx="0">
                  <c:v>Y1</c:v>
                </c:pt>
                <c:pt idx="1">
                  <c:v>Y2</c:v>
                </c:pt>
                <c:pt idx="2">
                  <c:v>Y3</c:v>
                </c:pt>
                <c:pt idx="3">
                  <c:v>Y4</c:v>
                </c:pt>
                <c:pt idx="4">
                  <c:v>Y5</c:v>
                </c:pt>
                <c:pt idx="5">
                  <c:v>Y6</c:v>
                </c:pt>
                <c:pt idx="6">
                  <c:v>Y7</c:v>
                </c:pt>
                <c:pt idx="7">
                  <c:v>Y8</c:v>
                </c:pt>
              </c:strCache>
            </c:strRef>
          </c:cat>
          <c:val>
            <c:numRef>
              <c:f>1_Rev_Profit_Cash!$C$30:$J$30</c:f>
              <c:numCache>
                <c:formatCode>#,##0.0;\(#,##0.0\);\-</c:formatCode>
                <c:ptCount val="8"/>
                <c:pt idx="0">
                  <c:v>30.7753424657534</c:v>
                </c:pt>
                <c:pt idx="1">
                  <c:v>63.2833047945206</c:v>
                </c:pt>
                <c:pt idx="2">
                  <c:v>91.0507962328767</c:v>
                </c:pt>
                <c:pt idx="3">
                  <c:v>150.708921232877</c:v>
                </c:pt>
                <c:pt idx="4">
                  <c:v>419.798784246575</c:v>
                </c:pt>
                <c:pt idx="5">
                  <c:v>195.229135273972</c:v>
                </c:pt>
                <c:pt idx="6">
                  <c:v>0</c:v>
                </c:pt>
                <c:pt idx="7">
                  <c:v>0</c:v>
                </c:pt>
              </c:numCache>
            </c:numRef>
          </c:val>
        </c:ser>
        <c:ser>
          <c:idx val="1"/>
          <c:order val="1"/>
          <c:tx>
            <c:strRef>
              <c:f>1_Rev_Profit_Cash!B39</c:f>
              <c:strCache>
                <c:ptCount val="1"/>
                <c:pt idx="0">
                  <c:v>Net financing</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1_Rev_Profit_Cash!$C$4:$J$4</c:f>
              <c:strCache>
                <c:ptCount val="8"/>
                <c:pt idx="0">
                  <c:v>Y1</c:v>
                </c:pt>
                <c:pt idx="1">
                  <c:v>Y2</c:v>
                </c:pt>
                <c:pt idx="2">
                  <c:v>Y3</c:v>
                </c:pt>
                <c:pt idx="3">
                  <c:v>Y4</c:v>
                </c:pt>
                <c:pt idx="4">
                  <c:v>Y5</c:v>
                </c:pt>
                <c:pt idx="5">
                  <c:v>Y6</c:v>
                </c:pt>
                <c:pt idx="6">
                  <c:v>Y7</c:v>
                </c:pt>
                <c:pt idx="7">
                  <c:v>Y8</c:v>
                </c:pt>
              </c:strCache>
            </c:strRef>
          </c:cat>
          <c:val>
            <c:numRef>
              <c:f>1_Rev_Profit_Cash!$C$39:$J$39</c:f>
              <c:numCache>
                <c:formatCode>#,##0.0;\(#,##0.0\);\-</c:formatCode>
                <c:ptCount val="8"/>
                <c:pt idx="0">
                  <c:v>35</c:v>
                </c:pt>
                <c:pt idx="1">
                  <c:v>66.225</c:v>
                </c:pt>
                <c:pt idx="2">
                  <c:v>95.5525</c:v>
                </c:pt>
                <c:pt idx="3">
                  <c:v>193.385</c:v>
                </c:pt>
                <c:pt idx="4">
                  <c:v>457.865</c:v>
                </c:pt>
                <c:pt idx="5">
                  <c:v>348.6275</c:v>
                </c:pt>
                <c:pt idx="6">
                  <c:v>-52.6225</c:v>
                </c:pt>
                <c:pt idx="7">
                  <c:v>-71.9425</c:v>
                </c:pt>
              </c:numCache>
            </c:numRef>
          </c:val>
        </c:ser>
        <c:gapWidth val="150"/>
        <c:overlap val="0"/>
        <c:axId val="87012256"/>
        <c:axId val="89964050"/>
      </c:barChart>
      <c:catAx>
        <c:axId val="87012256"/>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9964050"/>
        <c:crosses val="autoZero"/>
        <c:auto val="1"/>
        <c:lblAlgn val="ctr"/>
        <c:lblOffset val="100"/>
        <c:noMultiLvlLbl val="0"/>
      </c:catAx>
      <c:valAx>
        <c:axId val="89964050"/>
        <c:scaling>
          <c:orientation val="minMax"/>
        </c:scaling>
        <c:delete val="0"/>
        <c:axPos val="l"/>
        <c:majorGridlines>
          <c:spPr>
            <a:ln w="9360">
              <a:solidFill>
                <a:srgbClr val="878787"/>
              </a:solidFill>
              <a:round/>
            </a:ln>
          </c:spPr>
        </c:majorGridlines>
        <c:numFmt formatCode="#,##0.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7012256"/>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Operating cycle vs cash conversion cycle (days)</a:t>
            </a:r>
          </a:p>
        </c:rich>
      </c:tx>
      <c:overlay val="0"/>
      <c:spPr>
        <a:noFill/>
        <a:ln w="0">
          <a:noFill/>
        </a:ln>
      </c:spPr>
    </c:title>
    <c:autoTitleDeleted val="0"/>
    <c:plotArea>
      <c:lineChart>
        <c:grouping val="standard"/>
        <c:varyColors val="0"/>
        <c:ser>
          <c:idx val="0"/>
          <c:order val="0"/>
          <c:tx>
            <c:strRef>
              <c:f>2_Working_Capital!B15</c:f>
              <c:strCache>
                <c:ptCount val="1"/>
                <c:pt idx="0">
                  <c:v>Operating cycle = DIO + DSO + retention days</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2_Working_Capital!$C$4:$J$4</c:f>
              <c:strCache>
                <c:ptCount val="8"/>
                <c:pt idx="0">
                  <c:v>Y1</c:v>
                </c:pt>
                <c:pt idx="1">
                  <c:v>Y2</c:v>
                </c:pt>
                <c:pt idx="2">
                  <c:v>Y3</c:v>
                </c:pt>
                <c:pt idx="3">
                  <c:v>Y4</c:v>
                </c:pt>
                <c:pt idx="4">
                  <c:v>Y5</c:v>
                </c:pt>
                <c:pt idx="5">
                  <c:v>Y6</c:v>
                </c:pt>
                <c:pt idx="6">
                  <c:v>Y7</c:v>
                </c:pt>
                <c:pt idx="7">
                  <c:v>Y8</c:v>
                </c:pt>
              </c:strCache>
            </c:strRef>
          </c:cat>
          <c:val>
            <c:numRef>
              <c:f>2_Working_Capital!$C$15:$J$15</c:f>
              <c:numCache>
                <c:formatCode>0;\(0\);\-</c:formatCode>
                <c:ptCount val="8"/>
                <c:pt idx="0">
                  <c:v>138.25</c:v>
                </c:pt>
                <c:pt idx="1">
                  <c:v>158.25</c:v>
                </c:pt>
                <c:pt idx="2">
                  <c:v>168.25</c:v>
                </c:pt>
                <c:pt idx="3">
                  <c:v>168.25</c:v>
                </c:pt>
                <c:pt idx="4">
                  <c:v>163.25</c:v>
                </c:pt>
                <c:pt idx="5">
                  <c:v>153.25</c:v>
                </c:pt>
                <c:pt idx="6">
                  <c:v>143.25</c:v>
                </c:pt>
                <c:pt idx="7">
                  <c:v>138.25</c:v>
                </c:pt>
              </c:numCache>
            </c:numRef>
          </c:val>
          <c:smooth val="0"/>
        </c:ser>
        <c:ser>
          <c:idx val="1"/>
          <c:order val="1"/>
          <c:tx>
            <c:strRef>
              <c:f>2_Working_Capital!B16</c:f>
              <c:strCache>
                <c:ptCount val="1"/>
                <c:pt idx="0">
                  <c:v>Cash conversion cycle = operating cycle − DPO − advance days</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2_Working_Capital!$C$4:$J$4</c:f>
              <c:strCache>
                <c:ptCount val="8"/>
                <c:pt idx="0">
                  <c:v>Y1</c:v>
                </c:pt>
                <c:pt idx="1">
                  <c:v>Y2</c:v>
                </c:pt>
                <c:pt idx="2">
                  <c:v>Y3</c:v>
                </c:pt>
                <c:pt idx="3">
                  <c:v>Y4</c:v>
                </c:pt>
                <c:pt idx="4">
                  <c:v>Y5</c:v>
                </c:pt>
                <c:pt idx="5">
                  <c:v>Y6</c:v>
                </c:pt>
                <c:pt idx="6">
                  <c:v>Y7</c:v>
                </c:pt>
                <c:pt idx="7">
                  <c:v>Y8</c:v>
                </c:pt>
              </c:strCache>
            </c:strRef>
          </c:cat>
          <c:val>
            <c:numRef>
              <c:f>2_Working_Capital!$C$16:$J$16</c:f>
              <c:numCache>
                <c:formatCode>0;\(0\);\-</c:formatCode>
                <c:ptCount val="8"/>
                <c:pt idx="0">
                  <c:v>123.25</c:v>
                </c:pt>
                <c:pt idx="1">
                  <c:v>138.25</c:v>
                </c:pt>
                <c:pt idx="2">
                  <c:v>132.3</c:v>
                </c:pt>
                <c:pt idx="3">
                  <c:v>120</c:v>
                </c:pt>
                <c:pt idx="4">
                  <c:v>110</c:v>
                </c:pt>
                <c:pt idx="5">
                  <c:v>87.7</c:v>
                </c:pt>
                <c:pt idx="6">
                  <c:v>69.05</c:v>
                </c:pt>
                <c:pt idx="7">
                  <c:v>64.05</c:v>
                </c:pt>
              </c:numCache>
            </c:numRef>
          </c:val>
          <c:smooth val="0"/>
        </c:ser>
        <c:hiLowLines>
          <c:spPr>
            <a:ln w="0">
              <a:noFill/>
            </a:ln>
          </c:spPr>
        </c:hiLowLines>
        <c:marker val="0"/>
        <c:axId val="91558106"/>
        <c:axId val="70210541"/>
      </c:lineChart>
      <c:catAx>
        <c:axId val="91558106"/>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0210541"/>
        <c:crosses val="autoZero"/>
        <c:auto val="1"/>
        <c:lblAlgn val="ctr"/>
        <c:lblOffset val="100"/>
        <c:noMultiLvlLbl val="0"/>
      </c:catAx>
      <c:valAx>
        <c:axId val="70210541"/>
        <c:scaling>
          <c:orientation val="minMax"/>
        </c:scaling>
        <c:delete val="0"/>
        <c:axPos val="l"/>
        <c:majorGridlines>
          <c:spPr>
            <a:ln w="9360">
              <a:solidFill>
                <a:srgbClr val="878787"/>
              </a:solidFill>
              <a:round/>
            </a:ln>
          </c:spPr>
        </c:majorGridlines>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1558106"/>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working capital vs bank cash credit (₹ lakh)</a:t>
            </a:r>
          </a:p>
        </c:rich>
      </c:tx>
      <c:overlay val="0"/>
      <c:spPr>
        <a:noFill/>
        <a:ln w="0">
          <a:noFill/>
        </a:ln>
      </c:spPr>
    </c:title>
    <c:autoTitleDeleted val="0"/>
    <c:plotArea>
      <c:barChart>
        <c:barDir val="col"/>
        <c:grouping val="clustered"/>
        <c:varyColors val="0"/>
        <c:ser>
          <c:idx val="0"/>
          <c:order val="0"/>
          <c:tx>
            <c:strRef>
              <c:f>2_Working_Capital!B24</c:f>
              <c:strCache>
                <c:ptCount val="1"/>
                <c:pt idx="0">
                  <c:v>Net working capital (NWC)</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2_Working_Capital!$C$4:$J$4</c:f>
              <c:strCache>
                <c:ptCount val="8"/>
                <c:pt idx="0">
                  <c:v>Y1</c:v>
                </c:pt>
                <c:pt idx="1">
                  <c:v>Y2</c:v>
                </c:pt>
                <c:pt idx="2">
                  <c:v>Y3</c:v>
                </c:pt>
                <c:pt idx="3">
                  <c:v>Y4</c:v>
                </c:pt>
                <c:pt idx="4">
                  <c:v>Y5</c:v>
                </c:pt>
                <c:pt idx="5">
                  <c:v>Y6</c:v>
                </c:pt>
                <c:pt idx="6">
                  <c:v>Y7</c:v>
                </c:pt>
                <c:pt idx="7">
                  <c:v>Y8</c:v>
                </c:pt>
              </c:strCache>
            </c:strRef>
          </c:cat>
          <c:val>
            <c:numRef>
              <c:f>2_Working_Capital!$C$24:$J$24</c:f>
              <c:numCache>
                <c:formatCode>#,##0.0;\(#,##0.0\);\-</c:formatCode>
                <c:ptCount val="8"/>
                <c:pt idx="0">
                  <c:v>19.1753424657534</c:v>
                </c:pt>
                <c:pt idx="1">
                  <c:v>64.627397260274</c:v>
                </c:pt>
                <c:pt idx="2">
                  <c:v>142.915068493151</c:v>
                </c:pt>
                <c:pt idx="3">
                  <c:v>244.602739726027</c:v>
                </c:pt>
                <c:pt idx="4">
                  <c:v>422.260273972603</c:v>
                </c:pt>
                <c:pt idx="5">
                  <c:v>592.657534246575</c:v>
                </c:pt>
                <c:pt idx="6">
                  <c:v>703.260273972603</c:v>
                </c:pt>
                <c:pt idx="7">
                  <c:v>856.849315068493</c:v>
                </c:pt>
              </c:numCache>
            </c:numRef>
          </c:val>
        </c:ser>
        <c:ser>
          <c:idx val="1"/>
          <c:order val="1"/>
          <c:tx>
            <c:strRef>
              <c:f>2_Working_Capital!B28</c:f>
              <c:strCache>
                <c:ptCount val="1"/>
                <c:pt idx="0">
                  <c:v>Bank cash credit available (closing)</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2_Working_Capital!$C$4:$J$4</c:f>
              <c:strCache>
                <c:ptCount val="8"/>
                <c:pt idx="0">
                  <c:v>Y1</c:v>
                </c:pt>
                <c:pt idx="1">
                  <c:v>Y2</c:v>
                </c:pt>
                <c:pt idx="2">
                  <c:v>Y3</c:v>
                </c:pt>
                <c:pt idx="3">
                  <c:v>Y4</c:v>
                </c:pt>
                <c:pt idx="4">
                  <c:v>Y5</c:v>
                </c:pt>
                <c:pt idx="5">
                  <c:v>Y6</c:v>
                </c:pt>
                <c:pt idx="6">
                  <c:v>Y7</c:v>
                </c:pt>
                <c:pt idx="7">
                  <c:v>Y8</c:v>
                </c:pt>
              </c:strCache>
            </c:strRef>
          </c:cat>
          <c:val>
            <c:numRef>
              <c:f>2_Working_Capital!$C$28:$J$28</c:f>
              <c:numCache>
                <c:formatCode>#,##0.0;\(#,##0.0\);\-</c:formatCode>
                <c:ptCount val="8"/>
                <c:pt idx="0">
                  <c:v>0</c:v>
                </c:pt>
                <c:pt idx="1">
                  <c:v>40</c:v>
                </c:pt>
                <c:pt idx="2">
                  <c:v>110</c:v>
                </c:pt>
                <c:pt idx="3">
                  <c:v>160</c:v>
                </c:pt>
                <c:pt idx="4">
                  <c:v>220</c:v>
                </c:pt>
                <c:pt idx="5">
                  <c:v>280</c:v>
                </c:pt>
                <c:pt idx="6">
                  <c:v>300</c:v>
                </c:pt>
                <c:pt idx="7">
                  <c:v>300</c:v>
                </c:pt>
              </c:numCache>
            </c:numRef>
          </c:val>
        </c:ser>
        <c:gapWidth val="150"/>
        <c:overlap val="0"/>
        <c:axId val="15467013"/>
        <c:axId val="14886440"/>
      </c:barChart>
      <c:catAx>
        <c:axId val="1546701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4886440"/>
        <c:crosses val="autoZero"/>
        <c:auto val="1"/>
        <c:lblAlgn val="ctr"/>
        <c:lblOffset val="100"/>
        <c:noMultiLvlLbl val="0"/>
      </c:catAx>
      <c:valAx>
        <c:axId val="14886440"/>
        <c:scaling>
          <c:orientation val="minMax"/>
        </c:scaling>
        <c:delete val="0"/>
        <c:axPos val="l"/>
        <c:majorGridlines>
          <c:spPr>
            <a:ln w="9360">
              <a:solidFill>
                <a:srgbClr val="878787"/>
              </a:solidFill>
              <a:round/>
            </a:ln>
          </c:spPr>
        </c:majorGridlines>
        <c:numFmt formatCode="#,##0.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5467013"/>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Ownership after each round</a:t>
            </a:r>
          </a:p>
        </c:rich>
      </c:tx>
      <c:overlay val="0"/>
      <c:spPr>
        <a:noFill/>
        <a:ln w="0">
          <a:noFill/>
        </a:ln>
      </c:spPr>
    </c:title>
    <c:autoTitleDeleted val="0"/>
    <c:plotArea>
      <c:barChart>
        <c:barDir val="col"/>
        <c:grouping val="stacked"/>
        <c:varyColors val="0"/>
        <c:ser>
          <c:idx val="0"/>
          <c:order val="0"/>
          <c:tx>
            <c:strRef>
              <c:f>3_Equity_Raise!B27</c:f>
              <c:strCache>
                <c:ptCount val="1"/>
                <c:pt idx="0">
                  <c:v>Arjun (founder)</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3_Equity_Raise!$C$26:$F$26</c:f>
              <c:strCache>
                <c:ptCount val="4"/>
                <c:pt idx="0">
                  <c:v>After bootstrap (Y1)</c:v>
                </c:pt>
                <c:pt idx="1">
                  <c:v>After angel (Y4)</c:v>
                </c:pt>
                <c:pt idx="2">
                  <c:v>After Series A (Y5)</c:v>
                </c:pt>
                <c:pt idx="3">
                  <c:v>After Series B (Y6)</c:v>
                </c:pt>
              </c:strCache>
            </c:strRef>
          </c:cat>
          <c:val>
            <c:numRef>
              <c:f>3_Equity_Raise!$C$27:$F$27</c:f>
              <c:numCache>
                <c:formatCode>0.0%;\(0.0%\);\-</c:formatCode>
                <c:ptCount val="4"/>
                <c:pt idx="0">
                  <c:v>0.9</c:v>
                </c:pt>
                <c:pt idx="1">
                  <c:v>0.73754599118549</c:v>
                </c:pt>
                <c:pt idx="2">
                  <c:v>0.549410092762223</c:v>
                </c:pt>
                <c:pt idx="3">
                  <c:v>0.493424449223453</c:v>
                </c:pt>
              </c:numCache>
            </c:numRef>
          </c:val>
        </c:ser>
        <c:ser>
          <c:idx val="1"/>
          <c:order val="1"/>
          <c:tx>
            <c:strRef>
              <c:f>3_Equity_Raise!B28</c:f>
              <c:strCache>
                <c:ptCount val="1"/>
                <c:pt idx="0">
                  <c:v>Family &amp; friends</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3_Equity_Raise!$C$26:$F$26</c:f>
              <c:strCache>
                <c:ptCount val="4"/>
                <c:pt idx="0">
                  <c:v>After bootstrap (Y1)</c:v>
                </c:pt>
                <c:pt idx="1">
                  <c:v>After angel (Y4)</c:v>
                </c:pt>
                <c:pt idx="2">
                  <c:v>After Series A (Y5)</c:v>
                </c:pt>
                <c:pt idx="3">
                  <c:v>After Series B (Y6)</c:v>
                </c:pt>
              </c:strCache>
            </c:strRef>
          </c:cat>
          <c:val>
            <c:numRef>
              <c:f>3_Equity_Raise!$C$28:$F$28</c:f>
              <c:numCache>
                <c:formatCode>0.0%;\(0.0%\);\-</c:formatCode>
                <c:ptCount val="4"/>
                <c:pt idx="0">
                  <c:v>0.1</c:v>
                </c:pt>
                <c:pt idx="1">
                  <c:v>0.0819495545761655</c:v>
                </c:pt>
                <c:pt idx="2">
                  <c:v>0.0610455658624692</c:v>
                </c:pt>
                <c:pt idx="3">
                  <c:v>0.0548249388026059</c:v>
                </c:pt>
              </c:numCache>
            </c:numRef>
          </c:val>
        </c:ser>
        <c:ser>
          <c:idx val="2"/>
          <c:order val="2"/>
          <c:tx>
            <c:strRef>
              <c:f>3_Equity_Raise!B29</c:f>
              <c:strCache>
                <c:ptCount val="1"/>
                <c:pt idx="0">
                  <c:v>Angel</c:v>
                </c:pt>
              </c:strCache>
            </c:strRef>
          </c:tx>
          <c:spPr>
            <a:solidFill>
              <a:srgbClr val="9bbb5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3_Equity_Raise!$C$26:$F$26</c:f>
              <c:strCache>
                <c:ptCount val="4"/>
                <c:pt idx="0">
                  <c:v>After bootstrap (Y1)</c:v>
                </c:pt>
                <c:pt idx="1">
                  <c:v>After angel (Y4)</c:v>
                </c:pt>
                <c:pt idx="2">
                  <c:v>After Series A (Y5)</c:v>
                </c:pt>
                <c:pt idx="3">
                  <c:v>After Series B (Y6)</c:v>
                </c:pt>
              </c:strCache>
            </c:strRef>
          </c:cat>
          <c:val>
            <c:numRef>
              <c:f>3_Equity_Raise!$C$29:$F$29</c:f>
              <c:numCache>
                <c:formatCode>0.0%;\(0.0%\);\-</c:formatCode>
                <c:ptCount val="4"/>
                <c:pt idx="0">
                  <c:v>0</c:v>
                </c:pt>
                <c:pt idx="1">
                  <c:v>0.180504454238345</c:v>
                </c:pt>
                <c:pt idx="2">
                  <c:v>0.134460725340913</c:v>
                </c:pt>
                <c:pt idx="3">
                  <c:v>0.120758992631465</c:v>
                </c:pt>
              </c:numCache>
            </c:numRef>
          </c:val>
        </c:ser>
        <c:ser>
          <c:idx val="3"/>
          <c:order val="3"/>
          <c:tx>
            <c:strRef>
              <c:f>3_Equity_Raise!B30</c:f>
              <c:strCache>
                <c:ptCount val="1"/>
                <c:pt idx="0">
                  <c:v>Series A fund</c:v>
                </c:pt>
              </c:strCache>
            </c:strRef>
          </c:tx>
          <c:spPr>
            <a:solidFill>
              <a:srgbClr val="8064a2"/>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3_Equity_Raise!$C$26:$F$26</c:f>
              <c:strCache>
                <c:ptCount val="4"/>
                <c:pt idx="0">
                  <c:v>After bootstrap (Y1)</c:v>
                </c:pt>
                <c:pt idx="1">
                  <c:v>After angel (Y4)</c:v>
                </c:pt>
                <c:pt idx="2">
                  <c:v>After Series A (Y5)</c:v>
                </c:pt>
                <c:pt idx="3">
                  <c:v>After Series B (Y6)</c:v>
                </c:pt>
              </c:strCache>
            </c:strRef>
          </c:cat>
          <c:val>
            <c:numRef>
              <c:f>3_Equity_Raise!$C$30:$F$30</c:f>
              <c:numCache>
                <c:formatCode>0.0%;\(0.0%\);\-</c:formatCode>
                <c:ptCount val="4"/>
                <c:pt idx="0">
                  <c:v>0</c:v>
                </c:pt>
                <c:pt idx="1">
                  <c:v>0</c:v>
                </c:pt>
                <c:pt idx="2">
                  <c:v>0.255083616034395</c:v>
                </c:pt>
                <c:pt idx="3">
                  <c:v>0.229090244984216</c:v>
                </c:pt>
              </c:numCache>
            </c:numRef>
          </c:val>
        </c:ser>
        <c:ser>
          <c:idx val="4"/>
          <c:order val="4"/>
          <c:tx>
            <c:strRef>
              <c:f>3_Equity_Raise!B31</c:f>
              <c:strCache>
                <c:ptCount val="1"/>
                <c:pt idx="0">
                  <c:v>Series B fund</c:v>
                </c:pt>
              </c:strCache>
            </c:strRef>
          </c:tx>
          <c:spPr>
            <a:solidFill>
              <a:srgbClr val="4bacc6"/>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3_Equity_Raise!$C$26:$F$26</c:f>
              <c:strCache>
                <c:ptCount val="4"/>
                <c:pt idx="0">
                  <c:v>After bootstrap (Y1)</c:v>
                </c:pt>
                <c:pt idx="1">
                  <c:v>After angel (Y4)</c:v>
                </c:pt>
                <c:pt idx="2">
                  <c:v>After Series A (Y5)</c:v>
                </c:pt>
                <c:pt idx="3">
                  <c:v>After Series B (Y6)</c:v>
                </c:pt>
              </c:strCache>
            </c:strRef>
          </c:cat>
          <c:val>
            <c:numRef>
              <c:f>3_Equity_Raise!$C$31:$F$31</c:f>
              <c:numCache>
                <c:formatCode>0.0%;\(0.0%\);\-</c:formatCode>
                <c:ptCount val="4"/>
                <c:pt idx="0">
                  <c:v>0</c:v>
                </c:pt>
                <c:pt idx="1">
                  <c:v>0</c:v>
                </c:pt>
                <c:pt idx="2">
                  <c:v>0</c:v>
                </c:pt>
                <c:pt idx="3">
                  <c:v>0.101901374358261</c:v>
                </c:pt>
              </c:numCache>
            </c:numRef>
          </c:val>
        </c:ser>
        <c:gapWidth val="150"/>
        <c:overlap val="100"/>
        <c:axId val="60453485"/>
        <c:axId val="3254837"/>
      </c:barChart>
      <c:catAx>
        <c:axId val="6045348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254837"/>
        <c:crosses val="autoZero"/>
        <c:auto val="1"/>
        <c:lblAlgn val="ctr"/>
        <c:lblOffset val="100"/>
        <c:noMultiLvlLbl val="0"/>
      </c:catAx>
      <c:valAx>
        <c:axId val="3254837"/>
        <c:scaling>
          <c:orientation val="minMax"/>
          <c:max val="1"/>
          <c:min val="0"/>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0453485"/>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6.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Cost of equity, after-tax cost of debt and WACC by year</a:t>
            </a:r>
          </a:p>
        </c:rich>
      </c:tx>
      <c:overlay val="0"/>
      <c:spPr>
        <a:noFill/>
        <a:ln w="0">
          <a:noFill/>
        </a:ln>
      </c:spPr>
    </c:title>
    <c:autoTitleDeleted val="0"/>
    <c:plotArea>
      <c:lineChart>
        <c:grouping val="standard"/>
        <c:varyColors val="0"/>
        <c:ser>
          <c:idx val="0"/>
          <c:order val="0"/>
          <c:tx>
            <c:strRef>
              <c:f>4_OppCost_WACC!B21</c:f>
              <c:strCache>
                <c:ptCount val="1"/>
                <c:pt idx="0">
                  <c:v>Required return on equity at this stage</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4_OppCost_WACC!$C$4:$J$4</c:f>
              <c:strCache>
                <c:ptCount val="8"/>
                <c:pt idx="0">
                  <c:v>Y1</c:v>
                </c:pt>
                <c:pt idx="1">
                  <c:v>Y2</c:v>
                </c:pt>
                <c:pt idx="2">
                  <c:v>Y3</c:v>
                </c:pt>
                <c:pt idx="3">
                  <c:v>Y4</c:v>
                </c:pt>
                <c:pt idx="4">
                  <c:v>Y5</c:v>
                </c:pt>
                <c:pt idx="5">
                  <c:v>Y6</c:v>
                </c:pt>
                <c:pt idx="6">
                  <c:v>Y7</c:v>
                </c:pt>
                <c:pt idx="7">
                  <c:v>Y8</c:v>
                </c:pt>
              </c:strCache>
            </c:strRef>
          </c:cat>
          <c:val>
            <c:numRef>
              <c:f>4_OppCost_WACC!$C$21:$J$21</c:f>
              <c:numCache>
                <c:formatCode>0.0%;\(0.0%\);\-</c:formatCode>
                <c:ptCount val="8"/>
                <c:pt idx="0">
                  <c:v>0.3</c:v>
                </c:pt>
                <c:pt idx="1">
                  <c:v>0.3</c:v>
                </c:pt>
                <c:pt idx="2">
                  <c:v>0.3</c:v>
                </c:pt>
                <c:pt idx="3">
                  <c:v>0.5</c:v>
                </c:pt>
                <c:pt idx="4">
                  <c:v>0.4</c:v>
                </c:pt>
                <c:pt idx="5">
                  <c:v>0.3</c:v>
                </c:pt>
                <c:pt idx="6">
                  <c:v>0.25</c:v>
                </c:pt>
                <c:pt idx="7">
                  <c:v>0.2</c:v>
                </c:pt>
              </c:numCache>
            </c:numRef>
          </c:val>
          <c:smooth val="0"/>
        </c:ser>
        <c:ser>
          <c:idx val="1"/>
          <c:order val="1"/>
          <c:tx>
            <c:strRef>
              <c:f>4_OppCost_WACC!B17</c:f>
              <c:strCache>
                <c:ptCount val="1"/>
                <c:pt idx="0">
                  <c:v>After-tax cost of debt</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4_OppCost_WACC!$C$4:$J$4</c:f>
              <c:strCache>
                <c:ptCount val="8"/>
                <c:pt idx="0">
                  <c:v>Y1</c:v>
                </c:pt>
                <c:pt idx="1">
                  <c:v>Y2</c:v>
                </c:pt>
                <c:pt idx="2">
                  <c:v>Y3</c:v>
                </c:pt>
                <c:pt idx="3">
                  <c:v>Y4</c:v>
                </c:pt>
                <c:pt idx="4">
                  <c:v>Y5</c:v>
                </c:pt>
                <c:pt idx="5">
                  <c:v>Y6</c:v>
                </c:pt>
                <c:pt idx="6">
                  <c:v>Y7</c:v>
                </c:pt>
                <c:pt idx="7">
                  <c:v>Y8</c:v>
                </c:pt>
              </c:strCache>
            </c:strRef>
          </c:cat>
          <c:val>
            <c:numRef>
              <c:f>4_OppCost_WACC!$C$17:$J$17</c:f>
              <c:numCache>
                <c:formatCode>0.0%;\(0.0%\);\-</c:formatCode>
                <c:ptCount val="8"/>
                <c:pt idx="0">
                  <c:v>0.0825</c:v>
                </c:pt>
                <c:pt idx="1">
                  <c:v>0.0808928571428572</c:v>
                </c:pt>
                <c:pt idx="2">
                  <c:v>0.081054469273743</c:v>
                </c:pt>
                <c:pt idx="3">
                  <c:v>0.0809160649819495</c:v>
                </c:pt>
                <c:pt idx="4">
                  <c:v>0.081352523659306</c:v>
                </c:pt>
                <c:pt idx="5">
                  <c:v>0.0817329545454545</c:v>
                </c:pt>
                <c:pt idx="6">
                  <c:v>0.0820882789317508</c:v>
                </c:pt>
                <c:pt idx="7">
                  <c:v>0.0825</c:v>
                </c:pt>
              </c:numCache>
            </c:numRef>
          </c:val>
          <c:smooth val="0"/>
        </c:ser>
        <c:ser>
          <c:idx val="2"/>
          <c:order val="2"/>
          <c:tx>
            <c:strRef>
              <c:f>4_OppCost_WACC!B27</c:f>
              <c:strCache>
                <c:ptCount val="1"/>
                <c:pt idx="0">
                  <c:v>WACC</c:v>
                </c:pt>
              </c:strCache>
            </c:strRef>
          </c:tx>
          <c:spPr>
            <a:solidFill>
              <a:srgbClr val="98b855"/>
            </a:solidFill>
            <a:ln w="28440">
              <a:solidFill>
                <a:srgbClr val="98b85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4_OppCost_WACC!$C$4:$J$4</c:f>
              <c:strCache>
                <c:ptCount val="8"/>
                <c:pt idx="0">
                  <c:v>Y1</c:v>
                </c:pt>
                <c:pt idx="1">
                  <c:v>Y2</c:v>
                </c:pt>
                <c:pt idx="2">
                  <c:v>Y3</c:v>
                </c:pt>
                <c:pt idx="3">
                  <c:v>Y4</c:v>
                </c:pt>
                <c:pt idx="4">
                  <c:v>Y5</c:v>
                </c:pt>
                <c:pt idx="5">
                  <c:v>Y6</c:v>
                </c:pt>
                <c:pt idx="6">
                  <c:v>Y7</c:v>
                </c:pt>
                <c:pt idx="7">
                  <c:v>Y8</c:v>
                </c:pt>
              </c:strCache>
            </c:strRef>
          </c:cat>
          <c:val>
            <c:numRef>
              <c:f>4_OppCost_WACC!$C$27:$J$27</c:f>
              <c:numCache>
                <c:formatCode>0.0%;\(0.0%\);\-</c:formatCode>
                <c:ptCount val="8"/>
                <c:pt idx="0">
                  <c:v>0.3</c:v>
                </c:pt>
                <c:pt idx="1">
                  <c:v>0.190446428571429</c:v>
                </c:pt>
                <c:pt idx="2">
                  <c:v>0.190527234636872</c:v>
                </c:pt>
                <c:pt idx="3">
                  <c:v>0.353320622743682</c:v>
                </c:pt>
                <c:pt idx="4">
                  <c:v>0.336270504731861</c:v>
                </c:pt>
                <c:pt idx="5">
                  <c:v>0.267259943181818</c:v>
                </c:pt>
                <c:pt idx="6">
                  <c:v>0.224813241839763</c:v>
                </c:pt>
                <c:pt idx="7">
                  <c:v>0.182375</c:v>
                </c:pt>
              </c:numCache>
            </c:numRef>
          </c:val>
          <c:smooth val="0"/>
        </c:ser>
        <c:hiLowLines>
          <c:spPr>
            <a:ln w="0">
              <a:noFill/>
            </a:ln>
          </c:spPr>
        </c:hiLowLines>
        <c:marker val="0"/>
        <c:axId val="57320231"/>
        <c:axId val="90066099"/>
      </c:lineChart>
      <c:catAx>
        <c:axId val="57320231"/>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0066099"/>
        <c:crosses val="autoZero"/>
        <c:auto val="1"/>
        <c:lblAlgn val="ctr"/>
        <c:lblOffset val="100"/>
        <c:noMultiLvlLbl val="0"/>
      </c:catAx>
      <c:valAx>
        <c:axId val="90066099"/>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7320231"/>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_rels/drawing2.xml.rels><?xml version="1.0" encoding="UTF-8"?>
<Relationships xmlns="http://schemas.openxmlformats.org/package/2006/relationships"><Relationship Id="rId1" Type="http://schemas.openxmlformats.org/officeDocument/2006/relationships/chart" Target="../charts/chart3.xml"/><Relationship Id="rId2" Type="http://schemas.openxmlformats.org/officeDocument/2006/relationships/chart" Target="../charts/chart4.xml"/>
</Relationships>
</file>

<file path=xl/drawings/_rels/drawing3.xml.rels><?xml version="1.0" encoding="UTF-8"?>
<Relationships xmlns="http://schemas.openxmlformats.org/package/2006/relationships"><Relationship Id="rId1" Type="http://schemas.openxmlformats.org/officeDocument/2006/relationships/chart" Target="../charts/chart5.xml"/>
</Relationships>
</file>

<file path=xl/drawings/_rels/drawing4.xml.rels><?xml version="1.0" encoding="UTF-8"?>
<Relationships xmlns="http://schemas.openxmlformats.org/package/2006/relationships"><Relationship Id="rId1" Type="http://schemas.openxmlformats.org/officeDocument/2006/relationships/chart" Target="../charts/chart6.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54</xdr:row>
      <xdr:rowOff>130680</xdr:rowOff>
    </xdr:from>
    <xdr:to>
      <xdr:col>8</xdr:col>
      <xdr:colOff>166320</xdr:colOff>
      <xdr:row>71</xdr:row>
      <xdr:rowOff>131760</xdr:rowOff>
    </xdr:to>
    <xdr:graphicFrame>
      <xdr:nvGraphicFramePr>
        <xdr:cNvPr id="0" name="Chart 1"/>
        <xdr:cNvGraphicFramePr/>
      </xdr:nvGraphicFramePr>
      <xdr:xfrm>
        <a:off x="141120" y="1066788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73</xdr:row>
      <xdr:rowOff>131040</xdr:rowOff>
    </xdr:from>
    <xdr:to>
      <xdr:col>8</xdr:col>
      <xdr:colOff>166320</xdr:colOff>
      <xdr:row>90</xdr:row>
      <xdr:rowOff>132120</xdr:rowOff>
    </xdr:to>
    <xdr:graphicFrame>
      <xdr:nvGraphicFramePr>
        <xdr:cNvPr id="1" name="Chart 2"/>
        <xdr:cNvGraphicFramePr/>
      </xdr:nvGraphicFramePr>
      <xdr:xfrm>
        <a:off x="141120" y="14287680"/>
        <a:ext cx="7919640" cy="323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37</xdr:row>
      <xdr:rowOff>131040</xdr:rowOff>
    </xdr:from>
    <xdr:to>
      <xdr:col>8</xdr:col>
      <xdr:colOff>166320</xdr:colOff>
      <xdr:row>54</xdr:row>
      <xdr:rowOff>132120</xdr:rowOff>
    </xdr:to>
    <xdr:graphicFrame>
      <xdr:nvGraphicFramePr>
        <xdr:cNvPr id="2" name="Chart 1"/>
        <xdr:cNvGraphicFramePr/>
      </xdr:nvGraphicFramePr>
      <xdr:xfrm>
        <a:off x="141120" y="762012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56</xdr:row>
      <xdr:rowOff>131040</xdr:rowOff>
    </xdr:from>
    <xdr:to>
      <xdr:col>8</xdr:col>
      <xdr:colOff>166320</xdr:colOff>
      <xdr:row>73</xdr:row>
      <xdr:rowOff>132120</xdr:rowOff>
    </xdr:to>
    <xdr:graphicFrame>
      <xdr:nvGraphicFramePr>
        <xdr:cNvPr id="3" name="Chart 2"/>
        <xdr:cNvGraphicFramePr/>
      </xdr:nvGraphicFramePr>
      <xdr:xfrm>
        <a:off x="141120" y="11239560"/>
        <a:ext cx="7919640" cy="323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34</xdr:row>
      <xdr:rowOff>131040</xdr:rowOff>
    </xdr:from>
    <xdr:to>
      <xdr:col>6</xdr:col>
      <xdr:colOff>730440</xdr:colOff>
      <xdr:row>51</xdr:row>
      <xdr:rowOff>132120</xdr:rowOff>
    </xdr:to>
    <xdr:graphicFrame>
      <xdr:nvGraphicFramePr>
        <xdr:cNvPr id="4" name="Chart 1"/>
        <xdr:cNvGraphicFramePr/>
      </xdr:nvGraphicFramePr>
      <xdr:xfrm>
        <a:off x="141120" y="781056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29</xdr:row>
      <xdr:rowOff>130680</xdr:rowOff>
    </xdr:from>
    <xdr:to>
      <xdr:col>8</xdr:col>
      <xdr:colOff>166320</xdr:colOff>
      <xdr:row>46</xdr:row>
      <xdr:rowOff>131760</xdr:rowOff>
    </xdr:to>
    <xdr:graphicFrame>
      <xdr:nvGraphicFramePr>
        <xdr:cNvPr id="5" name="Chart 1"/>
        <xdr:cNvGraphicFramePr/>
      </xdr:nvGraphicFramePr>
      <xdr:xfrm>
        <a:off x="141120" y="653400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Vayu_Fenestration_Caselet_VC_PE_Session1.xlsx" TargetMode="External"/><Relationship Id="rId2" Type="http://schemas.openxmlformats.org/officeDocument/2006/relationships/hyperlink" Target="Vayu_Fenestration_Caselet_VC_PE_Session1.xlsx" TargetMode="External"/><Relationship Id="rId3" Type="http://schemas.openxmlformats.org/officeDocument/2006/relationships/hyperlink" Target="Vayu_Fenestration_Caselet_VC_PE_Session1.xlsx" TargetMode="External"/><Relationship Id="rId4" Type="http://schemas.openxmlformats.org/officeDocument/2006/relationships/hyperlink" Target="Vayu_Fenestration_Caselet_VC_PE_Session1.xlsx" TargetMode="External"/><Relationship Id="rId5" Type="http://schemas.openxmlformats.org/officeDocument/2006/relationships/hyperlink" Target="Vayu_Fenestration_Caselet_VC_PE_Session1.xlsx" TargetMode="External"/><Relationship Id="rId6" Type="http://schemas.openxmlformats.org/officeDocument/2006/relationships/hyperlink" Target="Vayu_Fenestration_Caselet_VC_PE_Session1.xlsx" TargetMode="External"/><Relationship Id="rId7" Type="http://schemas.openxmlformats.org/officeDocument/2006/relationships/hyperlink" Target="Vayu_Fenestration_Caselet_VC_PE_Session1.xlsx" TargetMode="External"/><Relationship Id="rId8" Type="http://schemas.openxmlformats.org/officeDocument/2006/relationships/hyperlink" Target="Vayu_Fenestration_Caselet_VC_PE_Session1.xlsx" TargetMode="External"/><Relationship Id="rId9" Type="http://schemas.openxmlformats.org/officeDocument/2006/relationships/hyperlink" Target="Vayu_Fenestration_Caselet_VC_PE_Session1.xlsx" TargetMode="External"/><Relationship Id="rId10" Type="http://schemas.openxmlformats.org/officeDocument/2006/relationships/hyperlink" Target="Vayu_Fenestration_Caselet_VC_PE_Session1.xlsx" TargetMode="External"/><Relationship Id="rId11" Type="http://schemas.openxmlformats.org/officeDocument/2006/relationships/hyperlink" Target="Vayu_Fenestration_Caselet_VC_PE_Session1.xlsx" TargetMode="External"/><Relationship Id="rId12" Type="http://schemas.openxmlformats.org/officeDocument/2006/relationships/hyperlink" Target="Vayu_Fenestration_Caselet_VC_PE_Session1.xlsx" TargetMode="External"/>
</Relationships>
</file>

<file path=xl/worksheets/_rels/sheet9.xml.rels><?xml version="1.0" encoding="UTF-8"?>
<Relationships xmlns="http://schemas.openxmlformats.org/package/2006/relationships"><Relationship Id="rId1" Type="http://schemas.openxmlformats.org/officeDocument/2006/relationships/drawing" Target="../drawings/drawing1.xml"/>
</Relationships>
</file>

<file path=xl/worksheets/_rels/sheet10.xml.rels><?xml version="1.0" encoding="UTF-8"?>
<Relationships xmlns="http://schemas.openxmlformats.org/package/2006/relationships"><Relationship Id="rId1" Type="http://schemas.openxmlformats.org/officeDocument/2006/relationships/drawing" Target="../drawings/drawing2.xml"/>
</Relationships>
</file>

<file path=xl/worksheets/_rels/sheet11.xml.rels><?xml version="1.0" encoding="UTF-8"?>
<Relationships xmlns="http://schemas.openxmlformats.org/package/2006/relationships"><Relationship Id="rId1" Type="http://schemas.openxmlformats.org/officeDocument/2006/relationships/drawing" Target="../drawings/drawing3.xml"/>
</Relationships>
</file>

<file path=xl/worksheets/_rels/sheet12.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245B"/>
    <pageSetUpPr fitToPage="true"/>
  </sheetPr>
  <dimension ref="B2:C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8"/>
    <col collapsed="false" customWidth="true" hidden="false" outlineLevel="0" max="3" min="3" style="0" width="95"/>
  </cols>
  <sheetData>
    <row r="2" customFormat="false" ht="22.0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2" t="s">
        <v>2</v>
      </c>
    </row>
    <row r="6" customFormat="false" ht="109.5" hidden="false" customHeight="true" outlineLevel="0" collapsed="false">
      <c r="B6" s="3" t="s">
        <v>3</v>
      </c>
      <c r="C6" s="3"/>
    </row>
    <row r="8" customFormat="false" ht="15" hidden="false" customHeight="false" outlineLevel="0" collapsed="false">
      <c r="B8" s="4" t="s">
        <v>4</v>
      </c>
      <c r="C8" s="4" t="s">
        <v>5</v>
      </c>
    </row>
    <row r="9" customFormat="false" ht="15" hidden="false" customHeight="false" outlineLevel="0" collapsed="false">
      <c r="B9" s="5" t="s">
        <v>6</v>
      </c>
      <c r="C9" s="6" t="s">
        <v>7</v>
      </c>
    </row>
    <row r="10" customFormat="false" ht="15" hidden="false" customHeight="false" outlineLevel="0" collapsed="false">
      <c r="B10" s="5" t="s">
        <v>8</v>
      </c>
      <c r="C10" s="6" t="s">
        <v>9</v>
      </c>
    </row>
    <row r="11" customFormat="false" ht="15" hidden="false" customHeight="false" outlineLevel="0" collapsed="false">
      <c r="B11" s="5" t="s">
        <v>10</v>
      </c>
      <c r="C11" s="6" t="s">
        <v>11</v>
      </c>
    </row>
    <row r="12" customFormat="false" ht="15" hidden="false" customHeight="false" outlineLevel="0" collapsed="false">
      <c r="B12" s="5" t="s">
        <v>12</v>
      </c>
      <c r="C12" s="6" t="s">
        <v>13</v>
      </c>
    </row>
    <row r="13" customFormat="false" ht="15" hidden="false" customHeight="false" outlineLevel="0" collapsed="false">
      <c r="B13" s="5" t="s">
        <v>14</v>
      </c>
      <c r="C13" s="6" t="s">
        <v>15</v>
      </c>
    </row>
    <row r="14" customFormat="false" ht="15" hidden="false" customHeight="false" outlineLevel="0" collapsed="false">
      <c r="B14" s="5" t="s">
        <v>16</v>
      </c>
      <c r="C14" s="6" t="s">
        <v>17</v>
      </c>
    </row>
    <row r="15" customFormat="false" ht="15" hidden="false" customHeight="false" outlineLevel="0" collapsed="false">
      <c r="B15" s="5" t="s">
        <v>18</v>
      </c>
      <c r="C15" s="6" t="s">
        <v>19</v>
      </c>
    </row>
    <row r="16" customFormat="false" ht="15" hidden="false" customHeight="false" outlineLevel="0" collapsed="false">
      <c r="B16" s="5" t="s">
        <v>20</v>
      </c>
      <c r="C16" s="6" t="s">
        <v>21</v>
      </c>
    </row>
    <row r="17" customFormat="false" ht="15" hidden="false" customHeight="false" outlineLevel="0" collapsed="false">
      <c r="B17" s="5" t="s">
        <v>22</v>
      </c>
      <c r="C17" s="6" t="s">
        <v>23</v>
      </c>
    </row>
    <row r="18" customFormat="false" ht="15" hidden="false" customHeight="false" outlineLevel="0" collapsed="false">
      <c r="B18" s="5" t="s">
        <v>24</v>
      </c>
      <c r="C18" s="6" t="s">
        <v>25</v>
      </c>
    </row>
    <row r="19" customFormat="false" ht="15" hidden="false" customHeight="false" outlineLevel="0" collapsed="false">
      <c r="B19" s="5" t="s">
        <v>26</v>
      </c>
      <c r="C19" s="6" t="s">
        <v>27</v>
      </c>
    </row>
    <row r="20" customFormat="false" ht="15" hidden="false" customHeight="false" outlineLevel="0" collapsed="false">
      <c r="B20" s="5" t="s">
        <v>28</v>
      </c>
      <c r="C20" s="6" t="s">
        <v>29</v>
      </c>
    </row>
    <row r="22" customFormat="false" ht="15" hidden="false" customHeight="false" outlineLevel="0" collapsed="false">
      <c r="B22" s="7" t="s">
        <v>30</v>
      </c>
    </row>
    <row r="23" customFormat="false" ht="15" hidden="false" customHeight="false" outlineLevel="0" collapsed="false">
      <c r="B23" s="7" t="s">
        <v>31</v>
      </c>
      <c r="C23" s="8" t="s">
        <v>32</v>
      </c>
    </row>
    <row r="24" customFormat="false" ht="15" hidden="false" customHeight="false" outlineLevel="0" collapsed="false">
      <c r="B24" s="9" t="s">
        <v>33</v>
      </c>
      <c r="C24" s="8" t="s">
        <v>34</v>
      </c>
    </row>
    <row r="25" customFormat="false" ht="15" hidden="false" customHeight="false" outlineLevel="0" collapsed="false">
      <c r="B25" s="7" t="s">
        <v>35</v>
      </c>
      <c r="C25" s="8" t="s">
        <v>36</v>
      </c>
    </row>
    <row r="26" customFormat="false" ht="15" hidden="false" customHeight="false" outlineLevel="0" collapsed="false">
      <c r="B26" s="10" t="s">
        <v>37</v>
      </c>
      <c r="C26" s="8" t="s">
        <v>38</v>
      </c>
    </row>
    <row r="27" customFormat="false" ht="15" hidden="false" customHeight="false" outlineLevel="0" collapsed="false">
      <c r="B27" s="11" t="s">
        <v>39</v>
      </c>
      <c r="C27" s="8" t="s">
        <v>40</v>
      </c>
    </row>
    <row r="28" customFormat="false" ht="15" hidden="false" customHeight="false" outlineLevel="0" collapsed="false">
      <c r="B28" s="7" t="s">
        <v>41</v>
      </c>
      <c r="C28" s="8" t="s">
        <v>42</v>
      </c>
    </row>
  </sheetData>
  <mergeCells count="1">
    <mergeCell ref="B6:C6"/>
  </mergeCells>
  <hyperlinks>
    <hyperlink ref="B9" r:id="rId1" location="'S1_Bootstrap'!A1" display="S1_Bootstrap"/>
    <hyperlink ref="B10" r:id="rId2" location="'S2_Bank_Debt'!A1" display="S2_Bank_Debt"/>
    <hyperlink ref="B11" r:id="rId3" location="'S3_Brand'!A1" display="S3_Brand"/>
    <hyperlink ref="B12" r:id="rId4" location="'S4_Angel'!A1" display="S4_Angel"/>
    <hyperlink ref="B13" r:id="rId5" location="'S5_Series_A'!A1" display="S5_Series_A"/>
    <hyperlink ref="B14" r:id="rId6" location="'S6_Series_B_Scale'!A1" display="S6_Series_B_Scale"/>
    <hyperlink ref="B15" r:id="rId7" location="'Inputs'!A1" display="Inputs"/>
    <hyperlink ref="B16" r:id="rId8" location="'1_Rev_Profit_Cash'!A1" display="1_Rev_Profit_Cash"/>
    <hyperlink ref="B17" r:id="rId9" location="'2_Working_Capital'!A1" display="2_Working_Capital"/>
    <hyperlink ref="B18" r:id="rId10" location="'3_Equity_Raise'!A1" display="3_Equity_Raise"/>
    <hyperlink ref="B19" r:id="rId11" location="'4_OppCost_WACC'!A1" display="4_OppCost_WACC"/>
    <hyperlink ref="B20" r:id="rId12" location="'5_Valuation_Value'!A1" display="5_Valuation_Value"/>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5A623"/>
    <pageSetUpPr fitToPage="true"/>
  </sheetPr>
  <dimension ref="B1:K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10" min="3" style="0" width="11"/>
    <col collapsed="false" customWidth="true" hidden="false" outlineLevel="0" max="11" min="11" style="0" width="30"/>
  </cols>
  <sheetData>
    <row r="1" customFormat="false" ht="19.7" hidden="false" customHeight="false" outlineLevel="0" collapsed="false">
      <c r="B1" s="12" t="s">
        <v>43</v>
      </c>
    </row>
    <row r="2" customFormat="false" ht="15" hidden="false" customHeight="false" outlineLevel="0" collapsed="false">
      <c r="B2" s="2" t="s">
        <v>44</v>
      </c>
    </row>
    <row r="4" customFormat="false" ht="15" hidden="false" customHeight="false" outlineLevel="0" collapsed="false">
      <c r="B4" s="13" t="s">
        <v>45</v>
      </c>
      <c r="C4" s="14"/>
      <c r="D4" s="14"/>
      <c r="E4" s="14"/>
      <c r="F4" s="14"/>
      <c r="G4" s="14"/>
      <c r="H4" s="14"/>
      <c r="I4" s="14"/>
      <c r="J4" s="14"/>
      <c r="K4" s="14"/>
    </row>
    <row r="5" customFormat="false" ht="30" hidden="false" customHeight="true" outlineLevel="0" collapsed="false">
      <c r="B5" s="15" t="s">
        <v>46</v>
      </c>
      <c r="C5" s="15"/>
      <c r="D5" s="15"/>
      <c r="E5" s="15"/>
      <c r="F5" s="15"/>
      <c r="G5" s="15"/>
      <c r="H5" s="15"/>
      <c r="I5" s="15"/>
      <c r="J5" s="15"/>
      <c r="K5" s="15"/>
    </row>
    <row r="6" customFormat="false" ht="45" hidden="false" customHeight="true" outlineLevel="0" collapsed="false">
      <c r="B6" s="15" t="s">
        <v>47</v>
      </c>
      <c r="C6" s="15"/>
      <c r="D6" s="15"/>
      <c r="E6" s="15"/>
      <c r="F6" s="15"/>
      <c r="G6" s="15"/>
      <c r="H6" s="15"/>
      <c r="I6" s="15"/>
      <c r="J6" s="15"/>
      <c r="K6" s="15"/>
    </row>
    <row r="7" customFormat="false" ht="30" hidden="false" customHeight="true" outlineLevel="0" collapsed="false">
      <c r="B7" s="15" t="s">
        <v>48</v>
      </c>
      <c r="C7" s="15"/>
      <c r="D7" s="15"/>
      <c r="E7" s="15"/>
      <c r="F7" s="15"/>
      <c r="G7" s="15"/>
      <c r="H7" s="15"/>
      <c r="I7" s="15"/>
      <c r="J7" s="15"/>
      <c r="K7" s="15"/>
    </row>
    <row r="9" customFormat="false" ht="15" hidden="false" customHeight="false" outlineLevel="0" collapsed="false">
      <c r="B9" s="13" t="s">
        <v>49</v>
      </c>
      <c r="C9" s="14"/>
      <c r="D9" s="14"/>
      <c r="E9" s="14"/>
      <c r="F9" s="14"/>
      <c r="G9" s="14"/>
      <c r="H9" s="14"/>
      <c r="I9" s="14"/>
      <c r="J9" s="14"/>
      <c r="K9" s="14"/>
    </row>
    <row r="10" customFormat="false" ht="15" hidden="false" customHeight="false" outlineLevel="0" collapsed="false">
      <c r="B10" s="4" t="s">
        <v>50</v>
      </c>
      <c r="C10" s="16" t="s">
        <v>51</v>
      </c>
    </row>
    <row r="11" customFormat="false" ht="15" hidden="false" customHeight="false" outlineLevel="0" collapsed="false">
      <c r="B11" s="8" t="s">
        <v>52</v>
      </c>
      <c r="C11" s="17" t="n">
        <f aca="false">1_Rev_Profit_Cash!C6</f>
        <v>60</v>
      </c>
    </row>
    <row r="12" customFormat="false" ht="15" hidden="false" customHeight="false" outlineLevel="0" collapsed="false">
      <c r="B12" s="8" t="s">
        <v>53</v>
      </c>
      <c r="C12" s="18" t="n">
        <f aca="false">1_Rev_Profit_Cash!C7</f>
        <v>0</v>
      </c>
    </row>
    <row r="13" customFormat="false" ht="15" hidden="false" customHeight="false" outlineLevel="0" collapsed="false">
      <c r="B13" s="8" t="s">
        <v>54</v>
      </c>
      <c r="C13" s="17" t="n">
        <f aca="false">1_Rev_Profit_Cash!C12</f>
        <v>-3.60000000000001</v>
      </c>
    </row>
    <row r="14" customFormat="false" ht="15" hidden="false" customHeight="false" outlineLevel="0" collapsed="false">
      <c r="B14" s="8" t="s">
        <v>55</v>
      </c>
      <c r="C14" s="17" t="n">
        <f aca="false">1_Rev_Profit_Cash!C21</f>
        <v>-4.40000000000001</v>
      </c>
    </row>
    <row r="15" customFormat="false" ht="15" hidden="false" customHeight="false" outlineLevel="0" collapsed="false">
      <c r="B15" s="8" t="s">
        <v>56</v>
      </c>
      <c r="C15" s="17" t="n">
        <f aca="false">2_Working_Capital!C25</f>
        <v>19.1753424657534</v>
      </c>
    </row>
    <row r="16" customFormat="false" ht="15" hidden="false" customHeight="false" outlineLevel="0" collapsed="false">
      <c r="B16" s="8" t="s">
        <v>57</v>
      </c>
      <c r="C16" s="17" t="n">
        <f aca="false">1_Rev_Profit_Cash!C28</f>
        <v>-22.7753424657534</v>
      </c>
    </row>
    <row r="17" customFormat="false" ht="15" hidden="false" customHeight="false" outlineLevel="0" collapsed="false">
      <c r="B17" s="8" t="s">
        <v>58</v>
      </c>
      <c r="C17" s="17" t="n">
        <f aca="false">Inputs!C10</f>
        <v>8</v>
      </c>
    </row>
    <row r="18" customFormat="false" ht="15" hidden="false" customHeight="false" outlineLevel="0" collapsed="false">
      <c r="B18" s="8" t="s">
        <v>59</v>
      </c>
      <c r="C18" s="17" t="n">
        <f aca="false">1_Rev_Profit_Cash!C29</f>
        <v>-30.7753424657534</v>
      </c>
    </row>
    <row r="19" customFormat="false" ht="15" hidden="false" customHeight="false" outlineLevel="0" collapsed="false">
      <c r="B19" s="8" t="s">
        <v>60</v>
      </c>
      <c r="C19" s="17" t="n">
        <f aca="false">1_Rev_Profit_Cash!C30</f>
        <v>30.7753424657534</v>
      </c>
    </row>
    <row r="20" customFormat="false" ht="15" hidden="false" customHeight="false" outlineLevel="0" collapsed="false">
      <c r="B20" s="8" t="s">
        <v>61</v>
      </c>
      <c r="C20" s="17" t="n">
        <f aca="false">1_Rev_Profit_Cash!C39</f>
        <v>35</v>
      </c>
    </row>
    <row r="21" customFormat="false" ht="15" hidden="false" customHeight="false" outlineLevel="0" collapsed="false">
      <c r="B21" s="8" t="s">
        <v>62</v>
      </c>
      <c r="C21" s="17" t="n">
        <f aca="false">1_Rev_Profit_Cash!C42</f>
        <v>4.22465753424657</v>
      </c>
    </row>
    <row r="22" customFormat="false" ht="15" hidden="false" customHeight="false" outlineLevel="0" collapsed="false">
      <c r="B22" s="8" t="s">
        <v>63</v>
      </c>
      <c r="C22" s="19" t="n">
        <f aca="false">2_Working_Capital!C15</f>
        <v>138.25</v>
      </c>
    </row>
    <row r="23" customFormat="false" ht="15" hidden="false" customHeight="false" outlineLevel="0" collapsed="false">
      <c r="B23" s="8" t="s">
        <v>64</v>
      </c>
      <c r="C23" s="19" t="n">
        <f aca="false">2_Working_Capital!C16</f>
        <v>123.25</v>
      </c>
    </row>
    <row r="24" customFormat="false" ht="15" hidden="false" customHeight="false" outlineLevel="0" collapsed="false">
      <c r="B24" s="8" t="s">
        <v>65</v>
      </c>
      <c r="C24" s="18" t="n">
        <f aca="false">Inputs!C30</f>
        <v>0.3</v>
      </c>
    </row>
    <row r="26" customFormat="false" ht="15" hidden="false" customHeight="false" outlineLevel="0" collapsed="false">
      <c r="B26" s="13" t="s">
        <v>66</v>
      </c>
      <c r="C26" s="14"/>
      <c r="D26" s="14"/>
      <c r="E26" s="14"/>
      <c r="F26" s="14"/>
      <c r="G26" s="14"/>
      <c r="H26" s="14"/>
      <c r="I26" s="14"/>
      <c r="J26" s="14"/>
      <c r="K26" s="14"/>
    </row>
    <row r="27" customFormat="false" ht="30" hidden="false" customHeight="true" outlineLevel="0" collapsed="false">
      <c r="B27" s="20" t="s">
        <v>67</v>
      </c>
      <c r="C27" s="20"/>
      <c r="D27" s="20"/>
      <c r="E27" s="20"/>
      <c r="F27" s="20"/>
      <c r="G27" s="20"/>
      <c r="H27" s="20"/>
      <c r="I27" s="20"/>
      <c r="J27" s="20"/>
      <c r="K27" s="20"/>
    </row>
    <row r="29" customFormat="false" ht="15" hidden="false" customHeight="false" outlineLevel="0" collapsed="false">
      <c r="B29" s="13" t="s">
        <v>68</v>
      </c>
      <c r="C29" s="14"/>
      <c r="D29" s="14"/>
      <c r="E29" s="14"/>
      <c r="F29" s="14"/>
      <c r="G29" s="14"/>
      <c r="H29" s="14"/>
      <c r="I29" s="14"/>
      <c r="J29" s="14"/>
      <c r="K29" s="14"/>
    </row>
    <row r="30" customFormat="false" ht="30" hidden="false" customHeight="true" outlineLevel="0" collapsed="false">
      <c r="B30" s="21" t="s">
        <v>69</v>
      </c>
      <c r="C30" s="21"/>
      <c r="D30" s="21"/>
      <c r="E30" s="21"/>
      <c r="F30" s="21"/>
      <c r="G30" s="21"/>
      <c r="H30" s="21"/>
      <c r="I30" s="21"/>
      <c r="J30" s="21"/>
      <c r="K30" s="21"/>
    </row>
    <row r="32" customFormat="false" ht="15" hidden="false" customHeight="false" outlineLevel="0" collapsed="false">
      <c r="B32" s="13" t="s">
        <v>70</v>
      </c>
      <c r="C32" s="14"/>
      <c r="D32" s="14"/>
      <c r="E32" s="14"/>
      <c r="F32" s="14"/>
      <c r="G32" s="14"/>
      <c r="H32" s="14"/>
      <c r="I32" s="14"/>
      <c r="J32" s="14"/>
      <c r="K32" s="14"/>
    </row>
    <row r="33" customFormat="false" ht="15" hidden="false" customHeight="true" outlineLevel="0" collapsed="false">
      <c r="B33" s="15" t="s">
        <v>71</v>
      </c>
      <c r="C33" s="15"/>
      <c r="D33" s="15"/>
      <c r="E33" s="15"/>
      <c r="F33" s="15"/>
      <c r="G33" s="15"/>
      <c r="H33" s="15"/>
      <c r="I33" s="15"/>
      <c r="J33" s="15"/>
      <c r="K33" s="15"/>
    </row>
    <row r="34" customFormat="false" ht="15" hidden="false" customHeight="true" outlineLevel="0" collapsed="false">
      <c r="B34" s="15" t="s">
        <v>72</v>
      </c>
      <c r="C34" s="15"/>
      <c r="D34" s="15"/>
      <c r="E34" s="15"/>
      <c r="F34" s="15"/>
      <c r="G34" s="15"/>
      <c r="H34" s="15"/>
      <c r="I34" s="15"/>
      <c r="J34" s="15"/>
      <c r="K34" s="15"/>
    </row>
    <row r="35" customFormat="false" ht="15" hidden="false" customHeight="true" outlineLevel="0" collapsed="false">
      <c r="B35" s="15" t="s">
        <v>73</v>
      </c>
      <c r="C35" s="15"/>
      <c r="D35" s="15"/>
      <c r="E35" s="15"/>
      <c r="F35" s="15"/>
      <c r="G35" s="15"/>
      <c r="H35" s="15"/>
      <c r="I35" s="15"/>
      <c r="J35" s="15"/>
      <c r="K35" s="15"/>
    </row>
    <row r="36" customFormat="false" ht="15" hidden="false" customHeight="true" outlineLevel="0" collapsed="false">
      <c r="B36" s="15" t="s">
        <v>74</v>
      </c>
      <c r="C36" s="15"/>
      <c r="D36" s="15"/>
      <c r="E36" s="15"/>
      <c r="F36" s="15"/>
      <c r="G36" s="15"/>
      <c r="H36" s="15"/>
      <c r="I36" s="15"/>
      <c r="J36" s="15"/>
      <c r="K36" s="15"/>
    </row>
  </sheetData>
  <mergeCells count="9">
    <mergeCell ref="B5:K5"/>
    <mergeCell ref="B6:K6"/>
    <mergeCell ref="B7:K7"/>
    <mergeCell ref="B27:K27"/>
    <mergeCell ref="B30:K30"/>
    <mergeCell ref="B33:K33"/>
    <mergeCell ref="B34:K34"/>
    <mergeCell ref="B35:K35"/>
    <mergeCell ref="B36:K36"/>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5A623"/>
    <pageSetUpPr fitToPage="true"/>
  </sheetPr>
  <dimension ref="B1:K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10" min="3" style="0" width="11"/>
    <col collapsed="false" customWidth="true" hidden="false" outlineLevel="0" max="11" min="11" style="0" width="30"/>
  </cols>
  <sheetData>
    <row r="1" customFormat="false" ht="19.7" hidden="false" customHeight="false" outlineLevel="0" collapsed="false">
      <c r="B1" s="12" t="s">
        <v>75</v>
      </c>
    </row>
    <row r="2" customFormat="false" ht="15" hidden="false" customHeight="false" outlineLevel="0" collapsed="false">
      <c r="B2" s="2" t="s">
        <v>76</v>
      </c>
    </row>
    <row r="4" customFormat="false" ht="15" hidden="false" customHeight="false" outlineLevel="0" collapsed="false">
      <c r="B4" s="13" t="s">
        <v>45</v>
      </c>
      <c r="C4" s="14"/>
      <c r="D4" s="14"/>
      <c r="E4" s="14"/>
      <c r="F4" s="14"/>
      <c r="G4" s="14"/>
      <c r="H4" s="14"/>
      <c r="I4" s="14"/>
      <c r="J4" s="14"/>
      <c r="K4" s="14"/>
    </row>
    <row r="5" customFormat="false" ht="45" hidden="false" customHeight="true" outlineLevel="0" collapsed="false">
      <c r="B5" s="15" t="s">
        <v>77</v>
      </c>
      <c r="C5" s="15"/>
      <c r="D5" s="15"/>
      <c r="E5" s="15"/>
      <c r="F5" s="15"/>
      <c r="G5" s="15"/>
      <c r="H5" s="15"/>
      <c r="I5" s="15"/>
      <c r="J5" s="15"/>
      <c r="K5" s="15"/>
    </row>
    <row r="6" customFormat="false" ht="30" hidden="false" customHeight="true" outlineLevel="0" collapsed="false">
      <c r="B6" s="15" t="s">
        <v>78</v>
      </c>
      <c r="C6" s="15"/>
      <c r="D6" s="15"/>
      <c r="E6" s="15"/>
      <c r="F6" s="15"/>
      <c r="G6" s="15"/>
      <c r="H6" s="15"/>
      <c r="I6" s="15"/>
      <c r="J6" s="15"/>
      <c r="K6" s="15"/>
    </row>
    <row r="8" customFormat="false" ht="15" hidden="false" customHeight="false" outlineLevel="0" collapsed="false">
      <c r="B8" s="13" t="s">
        <v>49</v>
      </c>
      <c r="C8" s="14"/>
      <c r="D8" s="14"/>
      <c r="E8" s="14"/>
      <c r="F8" s="14"/>
      <c r="G8" s="14"/>
      <c r="H8" s="14"/>
      <c r="I8" s="14"/>
      <c r="J8" s="14"/>
      <c r="K8" s="14"/>
    </row>
    <row r="9" customFormat="false" ht="15" hidden="false" customHeight="false" outlineLevel="0" collapsed="false">
      <c r="B9" s="4" t="s">
        <v>50</v>
      </c>
      <c r="C9" s="16" t="s">
        <v>51</v>
      </c>
      <c r="D9" s="16" t="s">
        <v>79</v>
      </c>
    </row>
    <row r="10" customFormat="false" ht="15" hidden="false" customHeight="false" outlineLevel="0" collapsed="false">
      <c r="B10" s="8" t="s">
        <v>52</v>
      </c>
      <c r="C10" s="17" t="n">
        <f aca="false">1_Rev_Profit_Cash!C6</f>
        <v>60</v>
      </c>
      <c r="D10" s="17" t="n">
        <f aca="false">1_Rev_Profit_Cash!D6</f>
        <v>180</v>
      </c>
    </row>
    <row r="11" customFormat="false" ht="15" hidden="false" customHeight="false" outlineLevel="0" collapsed="false">
      <c r="B11" s="8" t="s">
        <v>53</v>
      </c>
      <c r="C11" s="18" t="n">
        <f aca="false">1_Rev_Profit_Cash!C7</f>
        <v>0</v>
      </c>
      <c r="D11" s="18" t="n">
        <f aca="false">1_Rev_Profit_Cash!D7</f>
        <v>2</v>
      </c>
    </row>
    <row r="12" customFormat="false" ht="15" hidden="false" customHeight="false" outlineLevel="0" collapsed="false">
      <c r="B12" s="8" t="s">
        <v>54</v>
      </c>
      <c r="C12" s="17" t="n">
        <f aca="false">1_Rev_Profit_Cash!C12</f>
        <v>-3.60000000000001</v>
      </c>
      <c r="D12" s="17" t="n">
        <f aca="false">1_Rev_Profit_Cash!D12</f>
        <v>7.19999999999999</v>
      </c>
    </row>
    <row r="13" customFormat="false" ht="15" hidden="false" customHeight="false" outlineLevel="0" collapsed="false">
      <c r="B13" s="8" t="s">
        <v>55</v>
      </c>
      <c r="C13" s="17" t="n">
        <f aca="false">1_Rev_Profit_Cash!C21</f>
        <v>-4.40000000000001</v>
      </c>
      <c r="D13" s="17" t="n">
        <f aca="false">1_Rev_Profit_Cash!D21</f>
        <v>0.0937499999999923</v>
      </c>
    </row>
    <row r="14" customFormat="false" ht="15" hidden="false" customHeight="false" outlineLevel="0" collapsed="false">
      <c r="B14" s="8" t="s">
        <v>56</v>
      </c>
      <c r="C14" s="17" t="n">
        <f aca="false">2_Working_Capital!C25</f>
        <v>19.1753424657534</v>
      </c>
      <c r="D14" s="17" t="n">
        <f aca="false">2_Working_Capital!D25</f>
        <v>45.4520547945206</v>
      </c>
    </row>
    <row r="15" customFormat="false" ht="15" hidden="false" customHeight="false" outlineLevel="0" collapsed="false">
      <c r="B15" s="8" t="s">
        <v>57</v>
      </c>
      <c r="C15" s="17" t="n">
        <f aca="false">1_Rev_Profit_Cash!C28</f>
        <v>-22.7753424657534</v>
      </c>
      <c r="D15" s="17" t="n">
        <f aca="false">1_Rev_Profit_Cash!D28</f>
        <v>-42.0583047945206</v>
      </c>
    </row>
    <row r="16" customFormat="false" ht="15" hidden="false" customHeight="false" outlineLevel="0" collapsed="false">
      <c r="B16" s="8" t="s">
        <v>58</v>
      </c>
      <c r="C16" s="17" t="n">
        <f aca="false">Inputs!C10</f>
        <v>8</v>
      </c>
      <c r="D16" s="17" t="n">
        <f aca="false">Inputs!D10</f>
        <v>25</v>
      </c>
    </row>
    <row r="17" customFormat="false" ht="15" hidden="false" customHeight="false" outlineLevel="0" collapsed="false">
      <c r="B17" s="8" t="s">
        <v>59</v>
      </c>
      <c r="C17" s="17" t="n">
        <f aca="false">1_Rev_Profit_Cash!C29</f>
        <v>-30.7753424657534</v>
      </c>
      <c r="D17" s="17" t="n">
        <f aca="false">1_Rev_Profit_Cash!D29</f>
        <v>-63.2833047945206</v>
      </c>
    </row>
    <row r="18" customFormat="false" ht="15" hidden="false" customHeight="false" outlineLevel="0" collapsed="false">
      <c r="B18" s="8" t="s">
        <v>60</v>
      </c>
      <c r="C18" s="17" t="n">
        <f aca="false">1_Rev_Profit_Cash!C30</f>
        <v>30.7753424657534</v>
      </c>
      <c r="D18" s="17" t="n">
        <f aca="false">1_Rev_Profit_Cash!D30</f>
        <v>63.2833047945206</v>
      </c>
    </row>
    <row r="19" customFormat="false" ht="15" hidden="false" customHeight="false" outlineLevel="0" collapsed="false">
      <c r="B19" s="8" t="s">
        <v>61</v>
      </c>
      <c r="C19" s="17" t="n">
        <f aca="false">1_Rev_Profit_Cash!C39</f>
        <v>35</v>
      </c>
      <c r="D19" s="17" t="n">
        <f aca="false">1_Rev_Profit_Cash!D39</f>
        <v>66.225</v>
      </c>
    </row>
    <row r="20" customFormat="false" ht="15" hidden="false" customHeight="false" outlineLevel="0" collapsed="false">
      <c r="B20" s="8" t="s">
        <v>62</v>
      </c>
      <c r="C20" s="17" t="n">
        <f aca="false">1_Rev_Profit_Cash!C42</f>
        <v>4.22465753424657</v>
      </c>
      <c r="D20" s="17" t="n">
        <f aca="false">1_Rev_Profit_Cash!D42</f>
        <v>7.16635273972601</v>
      </c>
    </row>
    <row r="21" customFormat="false" ht="15" hidden="false" customHeight="false" outlineLevel="0" collapsed="false">
      <c r="B21" s="8" t="s">
        <v>63</v>
      </c>
      <c r="C21" s="19" t="n">
        <f aca="false">2_Working_Capital!C15</f>
        <v>138.25</v>
      </c>
      <c r="D21" s="19" t="n">
        <f aca="false">2_Working_Capital!D15</f>
        <v>158.25</v>
      </c>
    </row>
    <row r="22" customFormat="false" ht="15" hidden="false" customHeight="false" outlineLevel="0" collapsed="false">
      <c r="B22" s="8" t="s">
        <v>64</v>
      </c>
      <c r="C22" s="19" t="n">
        <f aca="false">2_Working_Capital!C16</f>
        <v>123.25</v>
      </c>
      <c r="D22" s="19" t="n">
        <f aca="false">2_Working_Capital!D16</f>
        <v>138.25</v>
      </c>
    </row>
    <row r="23" customFormat="false" ht="15" hidden="false" customHeight="false" outlineLevel="0" collapsed="false">
      <c r="B23" s="8" t="s">
        <v>65</v>
      </c>
      <c r="C23" s="18" t="n">
        <f aca="false">Inputs!C30</f>
        <v>0.3</v>
      </c>
      <c r="D23" s="18" t="n">
        <f aca="false">Inputs!D30</f>
        <v>0.3</v>
      </c>
    </row>
    <row r="25" customFormat="false" ht="15" hidden="false" customHeight="false" outlineLevel="0" collapsed="false">
      <c r="B25" s="13" t="s">
        <v>66</v>
      </c>
      <c r="C25" s="14"/>
      <c r="D25" s="14"/>
      <c r="E25" s="14"/>
      <c r="F25" s="14"/>
      <c r="G25" s="14"/>
      <c r="H25" s="14"/>
      <c r="I25" s="14"/>
      <c r="J25" s="14"/>
      <c r="K25" s="14"/>
    </row>
    <row r="26" customFormat="false" ht="30" hidden="false" customHeight="true" outlineLevel="0" collapsed="false">
      <c r="B26" s="20" t="s">
        <v>80</v>
      </c>
      <c r="C26" s="20"/>
      <c r="D26" s="20"/>
      <c r="E26" s="20"/>
      <c r="F26" s="20"/>
      <c r="G26" s="20"/>
      <c r="H26" s="20"/>
      <c r="I26" s="20"/>
      <c r="J26" s="20"/>
      <c r="K26" s="20"/>
    </row>
    <row r="28" customFormat="false" ht="15" hidden="false" customHeight="false" outlineLevel="0" collapsed="false">
      <c r="B28" s="13" t="s">
        <v>68</v>
      </c>
      <c r="C28" s="14"/>
      <c r="D28" s="14"/>
      <c r="E28" s="14"/>
      <c r="F28" s="14"/>
      <c r="G28" s="14"/>
      <c r="H28" s="14"/>
      <c r="I28" s="14"/>
      <c r="J28" s="14"/>
      <c r="K28" s="14"/>
    </row>
    <row r="29" customFormat="false" ht="45" hidden="false" customHeight="true" outlineLevel="0" collapsed="false">
      <c r="B29" s="21" t="s">
        <v>81</v>
      </c>
      <c r="C29" s="21"/>
      <c r="D29" s="21"/>
      <c r="E29" s="21"/>
      <c r="F29" s="21"/>
      <c r="G29" s="21"/>
      <c r="H29" s="21"/>
      <c r="I29" s="21"/>
      <c r="J29" s="21"/>
      <c r="K29" s="21"/>
    </row>
    <row r="31" customFormat="false" ht="15" hidden="false" customHeight="false" outlineLevel="0" collapsed="false">
      <c r="B31" s="13" t="s">
        <v>70</v>
      </c>
      <c r="C31" s="14"/>
      <c r="D31" s="14"/>
      <c r="E31" s="14"/>
      <c r="F31" s="14"/>
      <c r="G31" s="14"/>
      <c r="H31" s="14"/>
      <c r="I31" s="14"/>
      <c r="J31" s="14"/>
      <c r="K31" s="14"/>
    </row>
    <row r="32" customFormat="false" ht="15" hidden="false" customHeight="true" outlineLevel="0" collapsed="false">
      <c r="B32" s="15" t="s">
        <v>82</v>
      </c>
      <c r="C32" s="15"/>
      <c r="D32" s="15"/>
      <c r="E32" s="15"/>
      <c r="F32" s="15"/>
      <c r="G32" s="15"/>
      <c r="H32" s="15"/>
      <c r="I32" s="15"/>
      <c r="J32" s="15"/>
      <c r="K32" s="15"/>
    </row>
    <row r="33" customFormat="false" ht="15" hidden="false" customHeight="true" outlineLevel="0" collapsed="false">
      <c r="B33" s="15" t="s">
        <v>83</v>
      </c>
      <c r="C33" s="15"/>
      <c r="D33" s="15"/>
      <c r="E33" s="15"/>
      <c r="F33" s="15"/>
      <c r="G33" s="15"/>
      <c r="H33" s="15"/>
      <c r="I33" s="15"/>
      <c r="J33" s="15"/>
      <c r="K33" s="15"/>
    </row>
    <row r="34" customFormat="false" ht="15" hidden="false" customHeight="true" outlineLevel="0" collapsed="false">
      <c r="B34" s="15" t="s">
        <v>84</v>
      </c>
      <c r="C34" s="15"/>
      <c r="D34" s="15"/>
      <c r="E34" s="15"/>
      <c r="F34" s="15"/>
      <c r="G34" s="15"/>
      <c r="H34" s="15"/>
      <c r="I34" s="15"/>
      <c r="J34" s="15"/>
      <c r="K34" s="15"/>
    </row>
    <row r="35" customFormat="false" ht="15" hidden="false" customHeight="true" outlineLevel="0" collapsed="false">
      <c r="B35" s="15" t="s">
        <v>85</v>
      </c>
      <c r="C35" s="15"/>
      <c r="D35" s="15"/>
      <c r="E35" s="15"/>
      <c r="F35" s="15"/>
      <c r="G35" s="15"/>
      <c r="H35" s="15"/>
      <c r="I35" s="15"/>
      <c r="J35" s="15"/>
      <c r="K35" s="15"/>
    </row>
  </sheetData>
  <mergeCells count="8">
    <mergeCell ref="B5:K5"/>
    <mergeCell ref="B6:K6"/>
    <mergeCell ref="B26:K26"/>
    <mergeCell ref="B29:K29"/>
    <mergeCell ref="B32:K32"/>
    <mergeCell ref="B33:K33"/>
    <mergeCell ref="B34:K34"/>
    <mergeCell ref="B35:K3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5A623"/>
    <pageSetUpPr fitToPage="true"/>
  </sheetPr>
  <dimension ref="B1:K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10" min="3" style="0" width="11"/>
    <col collapsed="false" customWidth="true" hidden="false" outlineLevel="0" max="11" min="11" style="0" width="30"/>
  </cols>
  <sheetData>
    <row r="1" customFormat="false" ht="19.7" hidden="false" customHeight="false" outlineLevel="0" collapsed="false">
      <c r="B1" s="12" t="s">
        <v>86</v>
      </c>
    </row>
    <row r="2" customFormat="false" ht="15" hidden="false" customHeight="false" outlineLevel="0" collapsed="false">
      <c r="B2" s="2" t="s">
        <v>87</v>
      </c>
    </row>
    <row r="4" customFormat="false" ht="15" hidden="false" customHeight="false" outlineLevel="0" collapsed="false">
      <c r="B4" s="13" t="s">
        <v>45</v>
      </c>
      <c r="C4" s="14"/>
      <c r="D4" s="14"/>
      <c r="E4" s="14"/>
      <c r="F4" s="14"/>
      <c r="G4" s="14"/>
      <c r="H4" s="14"/>
      <c r="I4" s="14"/>
      <c r="J4" s="14"/>
      <c r="K4" s="14"/>
    </row>
    <row r="5" customFormat="false" ht="30" hidden="false" customHeight="true" outlineLevel="0" collapsed="false">
      <c r="B5" s="15" t="s">
        <v>88</v>
      </c>
      <c r="C5" s="15"/>
      <c r="D5" s="15"/>
      <c r="E5" s="15"/>
      <c r="F5" s="15"/>
      <c r="G5" s="15"/>
      <c r="H5" s="15"/>
      <c r="I5" s="15"/>
      <c r="J5" s="15"/>
      <c r="K5" s="15"/>
    </row>
    <row r="6" customFormat="false" ht="45" hidden="false" customHeight="true" outlineLevel="0" collapsed="false">
      <c r="B6" s="15" t="s">
        <v>89</v>
      </c>
      <c r="C6" s="15"/>
      <c r="D6" s="15"/>
      <c r="E6" s="15"/>
      <c r="F6" s="15"/>
      <c r="G6" s="15"/>
      <c r="H6" s="15"/>
      <c r="I6" s="15"/>
      <c r="J6" s="15"/>
      <c r="K6" s="15"/>
    </row>
    <row r="8" customFormat="false" ht="15" hidden="false" customHeight="false" outlineLevel="0" collapsed="false">
      <c r="B8" s="13" t="s">
        <v>49</v>
      </c>
      <c r="C8" s="14"/>
      <c r="D8" s="14"/>
      <c r="E8" s="14"/>
      <c r="F8" s="14"/>
      <c r="G8" s="14"/>
      <c r="H8" s="14"/>
      <c r="I8" s="14"/>
      <c r="J8" s="14"/>
      <c r="K8" s="14"/>
    </row>
    <row r="9" customFormat="false" ht="15" hidden="false" customHeight="false" outlineLevel="0" collapsed="false">
      <c r="B9" s="4" t="s">
        <v>50</v>
      </c>
      <c r="C9" s="16" t="s">
        <v>79</v>
      </c>
      <c r="D9" s="16" t="s">
        <v>90</v>
      </c>
    </row>
    <row r="10" customFormat="false" ht="15" hidden="false" customHeight="false" outlineLevel="0" collapsed="false">
      <c r="B10" s="8" t="s">
        <v>52</v>
      </c>
      <c r="C10" s="17" t="n">
        <f aca="false">1_Rev_Profit_Cash!D6</f>
        <v>180</v>
      </c>
      <c r="D10" s="17" t="n">
        <f aca="false">1_Rev_Profit_Cash!E6</f>
        <v>420</v>
      </c>
    </row>
    <row r="11" customFormat="false" ht="15" hidden="false" customHeight="false" outlineLevel="0" collapsed="false">
      <c r="B11" s="8" t="s">
        <v>53</v>
      </c>
      <c r="C11" s="18" t="n">
        <f aca="false">1_Rev_Profit_Cash!D7</f>
        <v>2</v>
      </c>
      <c r="D11" s="18" t="n">
        <f aca="false">1_Rev_Profit_Cash!E7</f>
        <v>1.33333333333333</v>
      </c>
    </row>
    <row r="12" customFormat="false" ht="15" hidden="false" customHeight="false" outlineLevel="0" collapsed="false">
      <c r="B12" s="8" t="s">
        <v>54</v>
      </c>
      <c r="C12" s="17" t="n">
        <f aca="false">1_Rev_Profit_Cash!D12</f>
        <v>7.19999999999999</v>
      </c>
      <c r="D12" s="17" t="n">
        <f aca="false">1_Rev_Profit_Cash!E12</f>
        <v>29.4</v>
      </c>
    </row>
    <row r="13" customFormat="false" ht="15" hidden="false" customHeight="false" outlineLevel="0" collapsed="false">
      <c r="B13" s="8" t="s">
        <v>55</v>
      </c>
      <c r="C13" s="17" t="n">
        <f aca="false">1_Rev_Profit_Cash!D21</f>
        <v>0.0937499999999923</v>
      </c>
      <c r="D13" s="17" t="n">
        <f aca="false">1_Rev_Profit_Cash!E21</f>
        <v>6.48937500000002</v>
      </c>
    </row>
    <row r="14" customFormat="false" ht="15" hidden="false" customHeight="false" outlineLevel="0" collapsed="false">
      <c r="B14" s="8" t="s">
        <v>56</v>
      </c>
      <c r="C14" s="17" t="n">
        <f aca="false">2_Working_Capital!D25</f>
        <v>45.4520547945206</v>
      </c>
      <c r="D14" s="17" t="n">
        <f aca="false">2_Working_Capital!E25</f>
        <v>78.2876712328767</v>
      </c>
    </row>
    <row r="15" customFormat="false" ht="15" hidden="false" customHeight="false" outlineLevel="0" collapsed="false">
      <c r="B15" s="8" t="s">
        <v>57</v>
      </c>
      <c r="C15" s="17" t="n">
        <f aca="false">1_Rev_Profit_Cash!D28</f>
        <v>-42.0583047945206</v>
      </c>
      <c r="D15" s="17" t="n">
        <f aca="false">1_Rev_Profit_Cash!E28</f>
        <v>-64.4982962328767</v>
      </c>
    </row>
    <row r="16" customFormat="false" ht="15" hidden="false" customHeight="false" outlineLevel="0" collapsed="false">
      <c r="B16" s="8" t="s">
        <v>58</v>
      </c>
      <c r="C16" s="17" t="n">
        <f aca="false">Inputs!D10</f>
        <v>25</v>
      </c>
      <c r="D16" s="17" t="n">
        <f aca="false">Inputs!E10</f>
        <v>40</v>
      </c>
    </row>
    <row r="17" customFormat="false" ht="15" hidden="false" customHeight="false" outlineLevel="0" collapsed="false">
      <c r="B17" s="8" t="s">
        <v>59</v>
      </c>
      <c r="C17" s="17" t="n">
        <f aca="false">1_Rev_Profit_Cash!D29</f>
        <v>-63.2833047945206</v>
      </c>
      <c r="D17" s="17" t="n">
        <f aca="false">1_Rev_Profit_Cash!E29</f>
        <v>-91.0507962328767</v>
      </c>
    </row>
    <row r="18" customFormat="false" ht="15" hidden="false" customHeight="false" outlineLevel="0" collapsed="false">
      <c r="B18" s="8" t="s">
        <v>60</v>
      </c>
      <c r="C18" s="17" t="n">
        <f aca="false">1_Rev_Profit_Cash!D30</f>
        <v>63.2833047945206</v>
      </c>
      <c r="D18" s="17" t="n">
        <f aca="false">1_Rev_Profit_Cash!E30</f>
        <v>91.0507962328767</v>
      </c>
    </row>
    <row r="19" customFormat="false" ht="15" hidden="false" customHeight="false" outlineLevel="0" collapsed="false">
      <c r="B19" s="8" t="s">
        <v>61</v>
      </c>
      <c r="C19" s="17" t="n">
        <f aca="false">1_Rev_Profit_Cash!D39</f>
        <v>66.225</v>
      </c>
      <c r="D19" s="17" t="n">
        <f aca="false">1_Rev_Profit_Cash!E39</f>
        <v>95.5525</v>
      </c>
    </row>
    <row r="20" customFormat="false" ht="15" hidden="false" customHeight="false" outlineLevel="0" collapsed="false">
      <c r="B20" s="8" t="s">
        <v>62</v>
      </c>
      <c r="C20" s="17" t="n">
        <f aca="false">1_Rev_Profit_Cash!D42</f>
        <v>7.16635273972601</v>
      </c>
      <c r="D20" s="17" t="n">
        <f aca="false">1_Rev_Profit_Cash!E42</f>
        <v>11.6680565068493</v>
      </c>
    </row>
    <row r="21" customFormat="false" ht="15" hidden="false" customHeight="false" outlineLevel="0" collapsed="false">
      <c r="B21" s="8" t="s">
        <v>63</v>
      </c>
      <c r="C21" s="19" t="n">
        <f aca="false">2_Working_Capital!D15</f>
        <v>158.25</v>
      </c>
      <c r="D21" s="19" t="n">
        <f aca="false">2_Working_Capital!E15</f>
        <v>168.25</v>
      </c>
    </row>
    <row r="22" customFormat="false" ht="15" hidden="false" customHeight="false" outlineLevel="0" collapsed="false">
      <c r="B22" s="8" t="s">
        <v>64</v>
      </c>
      <c r="C22" s="19" t="n">
        <f aca="false">2_Working_Capital!D16</f>
        <v>138.25</v>
      </c>
      <c r="D22" s="19" t="n">
        <f aca="false">2_Working_Capital!E16</f>
        <v>132.3</v>
      </c>
    </row>
    <row r="23" customFormat="false" ht="15" hidden="false" customHeight="false" outlineLevel="0" collapsed="false">
      <c r="B23" s="8" t="s">
        <v>65</v>
      </c>
      <c r="C23" s="18" t="n">
        <f aca="false">Inputs!D30</f>
        <v>0.3</v>
      </c>
      <c r="D23" s="18" t="n">
        <f aca="false">Inputs!E30</f>
        <v>0.3</v>
      </c>
    </row>
    <row r="25" customFormat="false" ht="15" hidden="false" customHeight="false" outlineLevel="0" collapsed="false">
      <c r="B25" s="13" t="s">
        <v>66</v>
      </c>
      <c r="C25" s="14"/>
      <c r="D25" s="14"/>
      <c r="E25" s="14"/>
      <c r="F25" s="14"/>
      <c r="G25" s="14"/>
      <c r="H25" s="14"/>
      <c r="I25" s="14"/>
      <c r="J25" s="14"/>
      <c r="K25" s="14"/>
    </row>
    <row r="26" customFormat="false" ht="30" hidden="false" customHeight="true" outlineLevel="0" collapsed="false">
      <c r="B26" s="20" t="s">
        <v>91</v>
      </c>
      <c r="C26" s="20"/>
      <c r="D26" s="20"/>
      <c r="E26" s="20"/>
      <c r="F26" s="20"/>
      <c r="G26" s="20"/>
      <c r="H26" s="20"/>
      <c r="I26" s="20"/>
      <c r="J26" s="20"/>
      <c r="K26" s="20"/>
    </row>
    <row r="28" customFormat="false" ht="15" hidden="false" customHeight="false" outlineLevel="0" collapsed="false">
      <c r="B28" s="13" t="s">
        <v>68</v>
      </c>
      <c r="C28" s="14"/>
      <c r="D28" s="14"/>
      <c r="E28" s="14"/>
      <c r="F28" s="14"/>
      <c r="G28" s="14"/>
      <c r="H28" s="14"/>
      <c r="I28" s="14"/>
      <c r="J28" s="14"/>
      <c r="K28" s="14"/>
    </row>
    <row r="29" customFormat="false" ht="30" hidden="false" customHeight="true" outlineLevel="0" collapsed="false">
      <c r="B29" s="21" t="s">
        <v>92</v>
      </c>
      <c r="C29" s="21"/>
      <c r="D29" s="21"/>
      <c r="E29" s="21"/>
      <c r="F29" s="21"/>
      <c r="G29" s="21"/>
      <c r="H29" s="21"/>
      <c r="I29" s="21"/>
      <c r="J29" s="21"/>
      <c r="K29" s="21"/>
    </row>
    <row r="31" customFormat="false" ht="15" hidden="false" customHeight="false" outlineLevel="0" collapsed="false">
      <c r="B31" s="13" t="s">
        <v>70</v>
      </c>
      <c r="C31" s="14"/>
      <c r="D31" s="14"/>
      <c r="E31" s="14"/>
      <c r="F31" s="14"/>
      <c r="G31" s="14"/>
      <c r="H31" s="14"/>
      <c r="I31" s="14"/>
      <c r="J31" s="14"/>
      <c r="K31" s="14"/>
    </row>
    <row r="32" customFormat="false" ht="15" hidden="false" customHeight="true" outlineLevel="0" collapsed="false">
      <c r="B32" s="15" t="s">
        <v>93</v>
      </c>
      <c r="C32" s="15"/>
      <c r="D32" s="15"/>
      <c r="E32" s="15"/>
      <c r="F32" s="15"/>
      <c r="G32" s="15"/>
      <c r="H32" s="15"/>
      <c r="I32" s="15"/>
      <c r="J32" s="15"/>
      <c r="K32" s="15"/>
    </row>
    <row r="33" customFormat="false" ht="15" hidden="false" customHeight="true" outlineLevel="0" collapsed="false">
      <c r="B33" s="15" t="s">
        <v>94</v>
      </c>
      <c r="C33" s="15"/>
      <c r="D33" s="15"/>
      <c r="E33" s="15"/>
      <c r="F33" s="15"/>
      <c r="G33" s="15"/>
      <c r="H33" s="15"/>
      <c r="I33" s="15"/>
      <c r="J33" s="15"/>
      <c r="K33" s="15"/>
    </row>
    <row r="34" customFormat="false" ht="15" hidden="false" customHeight="true" outlineLevel="0" collapsed="false">
      <c r="B34" s="15" t="s">
        <v>95</v>
      </c>
      <c r="C34" s="15"/>
      <c r="D34" s="15"/>
      <c r="E34" s="15"/>
      <c r="F34" s="15"/>
      <c r="G34" s="15"/>
      <c r="H34" s="15"/>
      <c r="I34" s="15"/>
      <c r="J34" s="15"/>
      <c r="K34" s="15"/>
    </row>
    <row r="35" customFormat="false" ht="15" hidden="false" customHeight="true" outlineLevel="0" collapsed="false">
      <c r="B35" s="15" t="s">
        <v>96</v>
      </c>
      <c r="C35" s="15"/>
      <c r="D35" s="15"/>
      <c r="E35" s="15"/>
      <c r="F35" s="15"/>
      <c r="G35" s="15"/>
      <c r="H35" s="15"/>
      <c r="I35" s="15"/>
      <c r="J35" s="15"/>
      <c r="K35" s="15"/>
    </row>
  </sheetData>
  <mergeCells count="8">
    <mergeCell ref="B5:K5"/>
    <mergeCell ref="B6:K6"/>
    <mergeCell ref="B26:K26"/>
    <mergeCell ref="B29:K29"/>
    <mergeCell ref="B32:K32"/>
    <mergeCell ref="B33:K33"/>
    <mergeCell ref="B34:K34"/>
    <mergeCell ref="B35:K3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5A623"/>
    <pageSetUpPr fitToPage="true"/>
  </sheetPr>
  <dimension ref="B1:K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10" min="3" style="0" width="11"/>
    <col collapsed="false" customWidth="true" hidden="false" outlineLevel="0" max="11" min="11" style="0" width="30"/>
  </cols>
  <sheetData>
    <row r="1" customFormat="false" ht="19.7" hidden="false" customHeight="false" outlineLevel="0" collapsed="false">
      <c r="B1" s="12" t="s">
        <v>97</v>
      </c>
    </row>
    <row r="2" customFormat="false" ht="15" hidden="false" customHeight="false" outlineLevel="0" collapsed="false">
      <c r="B2" s="2" t="s">
        <v>98</v>
      </c>
    </row>
    <row r="4" customFormat="false" ht="15" hidden="false" customHeight="false" outlineLevel="0" collapsed="false">
      <c r="B4" s="13" t="s">
        <v>45</v>
      </c>
      <c r="C4" s="14"/>
      <c r="D4" s="14"/>
      <c r="E4" s="14"/>
      <c r="F4" s="14"/>
      <c r="G4" s="14"/>
      <c r="H4" s="14"/>
      <c r="I4" s="14"/>
      <c r="J4" s="14"/>
      <c r="K4" s="14"/>
    </row>
    <row r="5" customFormat="false" ht="30" hidden="false" customHeight="true" outlineLevel="0" collapsed="false">
      <c r="B5" s="15" t="s">
        <v>99</v>
      </c>
      <c r="C5" s="15"/>
      <c r="D5" s="15"/>
      <c r="E5" s="15"/>
      <c r="F5" s="15"/>
      <c r="G5" s="15"/>
      <c r="H5" s="15"/>
      <c r="I5" s="15"/>
      <c r="J5" s="15"/>
      <c r="K5" s="15"/>
    </row>
    <row r="6" customFormat="false" ht="30" hidden="false" customHeight="true" outlineLevel="0" collapsed="false">
      <c r="B6" s="15" t="s">
        <v>100</v>
      </c>
      <c r="C6" s="15"/>
      <c r="D6" s="15"/>
      <c r="E6" s="15"/>
      <c r="F6" s="15"/>
      <c r="G6" s="15"/>
      <c r="H6" s="15"/>
      <c r="I6" s="15"/>
      <c r="J6" s="15"/>
      <c r="K6" s="15"/>
    </row>
    <row r="8" customFormat="false" ht="15" hidden="false" customHeight="false" outlineLevel="0" collapsed="false">
      <c r="B8" s="13" t="s">
        <v>49</v>
      </c>
      <c r="C8" s="14"/>
      <c r="D8" s="14"/>
      <c r="E8" s="14"/>
      <c r="F8" s="14"/>
      <c r="G8" s="14"/>
      <c r="H8" s="14"/>
      <c r="I8" s="14"/>
      <c r="J8" s="14"/>
      <c r="K8" s="14"/>
    </row>
    <row r="9" customFormat="false" ht="15" hidden="false" customHeight="false" outlineLevel="0" collapsed="false">
      <c r="B9" s="4" t="s">
        <v>50</v>
      </c>
      <c r="C9" s="16" t="s">
        <v>90</v>
      </c>
      <c r="D9" s="16" t="s">
        <v>101</v>
      </c>
    </row>
    <row r="10" customFormat="false" ht="15" hidden="false" customHeight="false" outlineLevel="0" collapsed="false">
      <c r="B10" s="8" t="s">
        <v>52</v>
      </c>
      <c r="C10" s="17" t="n">
        <f aca="false">1_Rev_Profit_Cash!E6</f>
        <v>420</v>
      </c>
      <c r="D10" s="17" t="n">
        <f aca="false">1_Rev_Profit_Cash!F6</f>
        <v>800</v>
      </c>
    </row>
    <row r="11" customFormat="false" ht="15" hidden="false" customHeight="false" outlineLevel="0" collapsed="false">
      <c r="B11" s="8" t="s">
        <v>53</v>
      </c>
      <c r="C11" s="18" t="n">
        <f aca="false">1_Rev_Profit_Cash!E7</f>
        <v>1.33333333333333</v>
      </c>
      <c r="D11" s="18" t="n">
        <f aca="false">1_Rev_Profit_Cash!F7</f>
        <v>0.904761904761905</v>
      </c>
    </row>
    <row r="12" customFormat="false" ht="15" hidden="false" customHeight="false" outlineLevel="0" collapsed="false">
      <c r="B12" s="8" t="s">
        <v>54</v>
      </c>
      <c r="C12" s="17" t="n">
        <f aca="false">1_Rev_Profit_Cash!E12</f>
        <v>29.4</v>
      </c>
      <c r="D12" s="17" t="n">
        <f aca="false">1_Rev_Profit_Cash!F12</f>
        <v>80</v>
      </c>
    </row>
    <row r="13" customFormat="false" ht="15" hidden="false" customHeight="false" outlineLevel="0" collapsed="false">
      <c r="B13" s="8" t="s">
        <v>55</v>
      </c>
      <c r="C13" s="17" t="n">
        <f aca="false">1_Rev_Profit_Cash!E21</f>
        <v>6.48937500000002</v>
      </c>
      <c r="D13" s="17" t="n">
        <f aca="false">1_Rev_Profit_Cash!F21</f>
        <v>27.06375</v>
      </c>
    </row>
    <row r="14" customFormat="false" ht="15" hidden="false" customHeight="false" outlineLevel="0" collapsed="false">
      <c r="B14" s="8" t="s">
        <v>56</v>
      </c>
      <c r="C14" s="17" t="n">
        <f aca="false">2_Working_Capital!E25</f>
        <v>78.2876712328767</v>
      </c>
      <c r="D14" s="17" t="n">
        <f aca="false">2_Working_Capital!F25</f>
        <v>101.687671232877</v>
      </c>
    </row>
    <row r="15" customFormat="false" ht="15" hidden="false" customHeight="false" outlineLevel="0" collapsed="false">
      <c r="B15" s="8" t="s">
        <v>57</v>
      </c>
      <c r="C15" s="17" t="n">
        <f aca="false">1_Rev_Profit_Cash!E28</f>
        <v>-64.4982962328767</v>
      </c>
      <c r="D15" s="17" t="n">
        <f aca="false">1_Rev_Profit_Cash!F28</f>
        <v>-55.3239212328767</v>
      </c>
    </row>
    <row r="16" customFormat="false" ht="15" hidden="false" customHeight="false" outlineLevel="0" collapsed="false">
      <c r="B16" s="8" t="s">
        <v>58</v>
      </c>
      <c r="C16" s="17" t="n">
        <f aca="false">Inputs!E10</f>
        <v>40</v>
      </c>
      <c r="D16" s="17" t="n">
        <f aca="false">Inputs!F10</f>
        <v>120</v>
      </c>
    </row>
    <row r="17" customFormat="false" ht="15" hidden="false" customHeight="false" outlineLevel="0" collapsed="false">
      <c r="B17" s="8" t="s">
        <v>59</v>
      </c>
      <c r="C17" s="17" t="n">
        <f aca="false">1_Rev_Profit_Cash!E29</f>
        <v>-91.0507962328767</v>
      </c>
      <c r="D17" s="17" t="n">
        <f aca="false">1_Rev_Profit_Cash!F29</f>
        <v>-150.708921232877</v>
      </c>
    </row>
    <row r="18" customFormat="false" ht="15" hidden="false" customHeight="false" outlineLevel="0" collapsed="false">
      <c r="B18" s="8" t="s">
        <v>60</v>
      </c>
      <c r="C18" s="17" t="n">
        <f aca="false">1_Rev_Profit_Cash!E30</f>
        <v>91.0507962328767</v>
      </c>
      <c r="D18" s="17" t="n">
        <f aca="false">1_Rev_Profit_Cash!F30</f>
        <v>150.708921232877</v>
      </c>
    </row>
    <row r="19" customFormat="false" ht="15" hidden="false" customHeight="false" outlineLevel="0" collapsed="false">
      <c r="B19" s="8" t="s">
        <v>61</v>
      </c>
      <c r="C19" s="17" t="n">
        <f aca="false">1_Rev_Profit_Cash!E39</f>
        <v>95.5525</v>
      </c>
      <c r="D19" s="17" t="n">
        <f aca="false">1_Rev_Profit_Cash!F39</f>
        <v>193.385</v>
      </c>
    </row>
    <row r="20" customFormat="false" ht="15" hidden="false" customHeight="false" outlineLevel="0" collapsed="false">
      <c r="B20" s="8" t="s">
        <v>62</v>
      </c>
      <c r="C20" s="17" t="n">
        <f aca="false">1_Rev_Profit_Cash!E42</f>
        <v>11.6680565068493</v>
      </c>
      <c r="D20" s="17" t="n">
        <f aca="false">1_Rev_Profit_Cash!F42</f>
        <v>54.3441352739726</v>
      </c>
    </row>
    <row r="21" customFormat="false" ht="15" hidden="false" customHeight="false" outlineLevel="0" collapsed="false">
      <c r="B21" s="8" t="s">
        <v>63</v>
      </c>
      <c r="C21" s="19" t="n">
        <f aca="false">2_Working_Capital!E15</f>
        <v>168.25</v>
      </c>
      <c r="D21" s="19" t="n">
        <f aca="false">2_Working_Capital!F15</f>
        <v>168.25</v>
      </c>
    </row>
    <row r="22" customFormat="false" ht="15" hidden="false" customHeight="false" outlineLevel="0" collapsed="false">
      <c r="B22" s="8" t="s">
        <v>64</v>
      </c>
      <c r="C22" s="19" t="n">
        <f aca="false">2_Working_Capital!E16</f>
        <v>132.3</v>
      </c>
      <c r="D22" s="19" t="n">
        <f aca="false">2_Working_Capital!F16</f>
        <v>120</v>
      </c>
    </row>
    <row r="23" customFormat="false" ht="15" hidden="false" customHeight="false" outlineLevel="0" collapsed="false">
      <c r="B23" s="8" t="s">
        <v>65</v>
      </c>
      <c r="C23" s="18" t="n">
        <f aca="false">Inputs!E30</f>
        <v>0.3</v>
      </c>
      <c r="D23" s="18" t="n">
        <f aca="false">Inputs!F30</f>
        <v>0.5</v>
      </c>
    </row>
    <row r="25" customFormat="false" ht="15" hidden="false" customHeight="false" outlineLevel="0" collapsed="false">
      <c r="B25" s="13" t="s">
        <v>66</v>
      </c>
      <c r="C25" s="14"/>
      <c r="D25" s="14"/>
      <c r="E25" s="14"/>
      <c r="F25" s="14"/>
      <c r="G25" s="14"/>
      <c r="H25" s="14"/>
      <c r="I25" s="14"/>
      <c r="J25" s="14"/>
      <c r="K25" s="14"/>
    </row>
    <row r="26" customFormat="false" ht="15" hidden="false" customHeight="true" outlineLevel="0" collapsed="false">
      <c r="B26" s="20" t="s">
        <v>102</v>
      </c>
      <c r="C26" s="20"/>
      <c r="D26" s="20"/>
      <c r="E26" s="20"/>
      <c r="F26" s="20"/>
      <c r="G26" s="20"/>
      <c r="H26" s="20"/>
      <c r="I26" s="20"/>
      <c r="J26" s="20"/>
      <c r="K26" s="20"/>
    </row>
    <row r="28" customFormat="false" ht="15" hidden="false" customHeight="false" outlineLevel="0" collapsed="false">
      <c r="B28" s="13" t="s">
        <v>68</v>
      </c>
      <c r="C28" s="14"/>
      <c r="D28" s="14"/>
      <c r="E28" s="14"/>
      <c r="F28" s="14"/>
      <c r="G28" s="14"/>
      <c r="H28" s="14"/>
      <c r="I28" s="14"/>
      <c r="J28" s="14"/>
      <c r="K28" s="14"/>
    </row>
    <row r="29" customFormat="false" ht="30" hidden="false" customHeight="true" outlineLevel="0" collapsed="false">
      <c r="B29" s="21" t="s">
        <v>103</v>
      </c>
      <c r="C29" s="21"/>
      <c r="D29" s="21"/>
      <c r="E29" s="21"/>
      <c r="F29" s="21"/>
      <c r="G29" s="21"/>
      <c r="H29" s="21"/>
      <c r="I29" s="21"/>
      <c r="J29" s="21"/>
      <c r="K29" s="21"/>
    </row>
    <row r="31" customFormat="false" ht="15" hidden="false" customHeight="false" outlineLevel="0" collapsed="false">
      <c r="B31" s="13" t="s">
        <v>70</v>
      </c>
      <c r="C31" s="14"/>
      <c r="D31" s="14"/>
      <c r="E31" s="14"/>
      <c r="F31" s="14"/>
      <c r="G31" s="14"/>
      <c r="H31" s="14"/>
      <c r="I31" s="14"/>
      <c r="J31" s="14"/>
      <c r="K31" s="14"/>
    </row>
    <row r="32" customFormat="false" ht="15" hidden="false" customHeight="true" outlineLevel="0" collapsed="false">
      <c r="B32" s="15" t="s">
        <v>104</v>
      </c>
      <c r="C32" s="15"/>
      <c r="D32" s="15"/>
      <c r="E32" s="15"/>
      <c r="F32" s="15"/>
      <c r="G32" s="15"/>
      <c r="H32" s="15"/>
      <c r="I32" s="15"/>
      <c r="J32" s="15"/>
      <c r="K32" s="15"/>
    </row>
    <row r="33" customFormat="false" ht="15" hidden="false" customHeight="true" outlineLevel="0" collapsed="false">
      <c r="B33" s="15" t="s">
        <v>105</v>
      </c>
      <c r="C33" s="15"/>
      <c r="D33" s="15"/>
      <c r="E33" s="15"/>
      <c r="F33" s="15"/>
      <c r="G33" s="15"/>
      <c r="H33" s="15"/>
      <c r="I33" s="15"/>
      <c r="J33" s="15"/>
      <c r="K33" s="15"/>
    </row>
    <row r="34" customFormat="false" ht="15" hidden="false" customHeight="true" outlineLevel="0" collapsed="false">
      <c r="B34" s="15" t="s">
        <v>106</v>
      </c>
      <c r="C34" s="15"/>
      <c r="D34" s="15"/>
      <c r="E34" s="15"/>
      <c r="F34" s="15"/>
      <c r="G34" s="15"/>
      <c r="H34" s="15"/>
      <c r="I34" s="15"/>
      <c r="J34" s="15"/>
      <c r="K34" s="15"/>
    </row>
    <row r="35" customFormat="false" ht="15" hidden="false" customHeight="true" outlineLevel="0" collapsed="false">
      <c r="B35" s="15" t="s">
        <v>107</v>
      </c>
      <c r="C35" s="15"/>
      <c r="D35" s="15"/>
      <c r="E35" s="15"/>
      <c r="F35" s="15"/>
      <c r="G35" s="15"/>
      <c r="H35" s="15"/>
      <c r="I35" s="15"/>
      <c r="J35" s="15"/>
      <c r="K35" s="15"/>
    </row>
  </sheetData>
  <mergeCells count="8">
    <mergeCell ref="B5:K5"/>
    <mergeCell ref="B6:K6"/>
    <mergeCell ref="B26:K26"/>
    <mergeCell ref="B29:K29"/>
    <mergeCell ref="B32:K32"/>
    <mergeCell ref="B33:K33"/>
    <mergeCell ref="B34:K34"/>
    <mergeCell ref="B35:K3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5A623"/>
    <pageSetUpPr fitToPage="true"/>
  </sheetPr>
  <dimension ref="B1:K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10" min="3" style="0" width="11"/>
    <col collapsed="false" customWidth="true" hidden="false" outlineLevel="0" max="11" min="11" style="0" width="30"/>
  </cols>
  <sheetData>
    <row r="1" customFormat="false" ht="19.7" hidden="false" customHeight="false" outlineLevel="0" collapsed="false">
      <c r="B1" s="12" t="s">
        <v>108</v>
      </c>
    </row>
    <row r="2" customFormat="false" ht="15" hidden="false" customHeight="false" outlineLevel="0" collapsed="false">
      <c r="B2" s="2" t="s">
        <v>109</v>
      </c>
    </row>
    <row r="4" customFormat="false" ht="15" hidden="false" customHeight="false" outlineLevel="0" collapsed="false">
      <c r="B4" s="13" t="s">
        <v>45</v>
      </c>
      <c r="C4" s="14"/>
      <c r="D4" s="14"/>
      <c r="E4" s="14"/>
      <c r="F4" s="14"/>
      <c r="G4" s="14"/>
      <c r="H4" s="14"/>
      <c r="I4" s="14"/>
      <c r="J4" s="14"/>
      <c r="K4" s="14"/>
    </row>
    <row r="5" customFormat="false" ht="30" hidden="false" customHeight="true" outlineLevel="0" collapsed="false">
      <c r="B5" s="15" t="s">
        <v>110</v>
      </c>
      <c r="C5" s="15"/>
      <c r="D5" s="15"/>
      <c r="E5" s="15"/>
      <c r="F5" s="15"/>
      <c r="G5" s="15"/>
      <c r="H5" s="15"/>
      <c r="I5" s="15"/>
      <c r="J5" s="15"/>
      <c r="K5" s="15"/>
    </row>
    <row r="6" customFormat="false" ht="30" hidden="false" customHeight="true" outlineLevel="0" collapsed="false">
      <c r="B6" s="15" t="s">
        <v>111</v>
      </c>
      <c r="C6" s="15"/>
      <c r="D6" s="15"/>
      <c r="E6" s="15"/>
      <c r="F6" s="15"/>
      <c r="G6" s="15"/>
      <c r="H6" s="15"/>
      <c r="I6" s="15"/>
      <c r="J6" s="15"/>
      <c r="K6" s="15"/>
    </row>
    <row r="8" customFormat="false" ht="15" hidden="false" customHeight="false" outlineLevel="0" collapsed="false">
      <c r="B8" s="13" t="s">
        <v>49</v>
      </c>
      <c r="C8" s="14"/>
      <c r="D8" s="14"/>
      <c r="E8" s="14"/>
      <c r="F8" s="14"/>
      <c r="G8" s="14"/>
      <c r="H8" s="14"/>
      <c r="I8" s="14"/>
      <c r="J8" s="14"/>
      <c r="K8" s="14"/>
    </row>
    <row r="9" customFormat="false" ht="15" hidden="false" customHeight="false" outlineLevel="0" collapsed="false">
      <c r="B9" s="4" t="s">
        <v>50</v>
      </c>
      <c r="C9" s="16" t="s">
        <v>101</v>
      </c>
      <c r="D9" s="16" t="s">
        <v>112</v>
      </c>
    </row>
    <row r="10" customFormat="false" ht="15" hidden="false" customHeight="false" outlineLevel="0" collapsed="false">
      <c r="B10" s="8" t="s">
        <v>52</v>
      </c>
      <c r="C10" s="17" t="n">
        <f aca="false">1_Rev_Profit_Cash!F6</f>
        <v>800</v>
      </c>
      <c r="D10" s="17" t="n">
        <f aca="false">1_Rev_Profit_Cash!G6</f>
        <v>1500</v>
      </c>
    </row>
    <row r="11" customFormat="false" ht="15" hidden="false" customHeight="false" outlineLevel="0" collapsed="false">
      <c r="B11" s="8" t="s">
        <v>53</v>
      </c>
      <c r="C11" s="18" t="n">
        <f aca="false">1_Rev_Profit_Cash!F7</f>
        <v>0.904761904761905</v>
      </c>
      <c r="D11" s="18" t="n">
        <f aca="false">1_Rev_Profit_Cash!G7</f>
        <v>0.875</v>
      </c>
    </row>
    <row r="12" customFormat="false" ht="15" hidden="false" customHeight="false" outlineLevel="0" collapsed="false">
      <c r="B12" s="8" t="s">
        <v>54</v>
      </c>
      <c r="C12" s="17" t="n">
        <f aca="false">1_Rev_Profit_Cash!F12</f>
        <v>80</v>
      </c>
      <c r="D12" s="17" t="n">
        <f aca="false">1_Rev_Profit_Cash!G12</f>
        <v>180</v>
      </c>
    </row>
    <row r="13" customFormat="false" ht="15" hidden="false" customHeight="false" outlineLevel="0" collapsed="false">
      <c r="B13" s="8" t="s">
        <v>55</v>
      </c>
      <c r="C13" s="17" t="n">
        <f aca="false">1_Rev_Profit_Cash!F21</f>
        <v>27.06375</v>
      </c>
      <c r="D13" s="17" t="n">
        <f aca="false">1_Rev_Profit_Cash!G21</f>
        <v>66.42375</v>
      </c>
    </row>
    <row r="14" customFormat="false" ht="15" hidden="false" customHeight="false" outlineLevel="0" collapsed="false">
      <c r="B14" s="8" t="s">
        <v>56</v>
      </c>
      <c r="C14" s="17" t="n">
        <f aca="false">2_Working_Capital!F25</f>
        <v>101.687671232877</v>
      </c>
      <c r="D14" s="17" t="n">
        <f aca="false">2_Working_Capital!G25</f>
        <v>177.657534246575</v>
      </c>
    </row>
    <row r="15" customFormat="false" ht="15" hidden="false" customHeight="false" outlineLevel="0" collapsed="false">
      <c r="B15" s="8" t="s">
        <v>57</v>
      </c>
      <c r="C15" s="17" t="n">
        <f aca="false">1_Rev_Profit_Cash!F28</f>
        <v>-55.3239212328767</v>
      </c>
      <c r="D15" s="17" t="n">
        <f aca="false">1_Rev_Profit_Cash!G28</f>
        <v>-51.9337842465754</v>
      </c>
    </row>
    <row r="16" customFormat="false" ht="15" hidden="false" customHeight="false" outlineLevel="0" collapsed="false">
      <c r="B16" s="8" t="s">
        <v>58</v>
      </c>
      <c r="C16" s="17" t="n">
        <f aca="false">Inputs!F10</f>
        <v>120</v>
      </c>
      <c r="D16" s="17" t="n">
        <f aca="false">Inputs!G10</f>
        <v>400</v>
      </c>
    </row>
    <row r="17" customFormat="false" ht="15" hidden="false" customHeight="false" outlineLevel="0" collapsed="false">
      <c r="B17" s="8" t="s">
        <v>59</v>
      </c>
      <c r="C17" s="17" t="n">
        <f aca="false">1_Rev_Profit_Cash!F29</f>
        <v>-150.708921232877</v>
      </c>
      <c r="D17" s="17" t="n">
        <f aca="false">1_Rev_Profit_Cash!G29</f>
        <v>-419.798784246575</v>
      </c>
    </row>
    <row r="18" customFormat="false" ht="15" hidden="false" customHeight="false" outlineLevel="0" collapsed="false">
      <c r="B18" s="8" t="s">
        <v>60</v>
      </c>
      <c r="C18" s="17" t="n">
        <f aca="false">1_Rev_Profit_Cash!F30</f>
        <v>150.708921232877</v>
      </c>
      <c r="D18" s="17" t="n">
        <f aca="false">1_Rev_Profit_Cash!G30</f>
        <v>419.798784246575</v>
      </c>
    </row>
    <row r="19" customFormat="false" ht="15" hidden="false" customHeight="false" outlineLevel="0" collapsed="false">
      <c r="B19" s="8" t="s">
        <v>61</v>
      </c>
      <c r="C19" s="17" t="n">
        <f aca="false">1_Rev_Profit_Cash!F39</f>
        <v>193.385</v>
      </c>
      <c r="D19" s="17" t="n">
        <f aca="false">1_Rev_Profit_Cash!G39</f>
        <v>457.865</v>
      </c>
    </row>
    <row r="20" customFormat="false" ht="15" hidden="false" customHeight="false" outlineLevel="0" collapsed="false">
      <c r="B20" s="8" t="s">
        <v>62</v>
      </c>
      <c r="C20" s="17" t="n">
        <f aca="false">1_Rev_Profit_Cash!F42</f>
        <v>54.3441352739726</v>
      </c>
      <c r="D20" s="17" t="n">
        <f aca="false">1_Rev_Profit_Cash!G42</f>
        <v>92.4103510273972</v>
      </c>
    </row>
    <row r="21" customFormat="false" ht="15" hidden="false" customHeight="false" outlineLevel="0" collapsed="false">
      <c r="B21" s="8" t="s">
        <v>63</v>
      </c>
      <c r="C21" s="19" t="n">
        <f aca="false">2_Working_Capital!F15</f>
        <v>168.25</v>
      </c>
      <c r="D21" s="19" t="n">
        <f aca="false">2_Working_Capital!G15</f>
        <v>163.25</v>
      </c>
    </row>
    <row r="22" customFormat="false" ht="15" hidden="false" customHeight="false" outlineLevel="0" collapsed="false">
      <c r="B22" s="8" t="s">
        <v>64</v>
      </c>
      <c r="C22" s="19" t="n">
        <f aca="false">2_Working_Capital!F16</f>
        <v>120</v>
      </c>
      <c r="D22" s="19" t="n">
        <f aca="false">2_Working_Capital!G16</f>
        <v>110</v>
      </c>
    </row>
    <row r="23" customFormat="false" ht="15" hidden="false" customHeight="false" outlineLevel="0" collapsed="false">
      <c r="B23" s="8" t="s">
        <v>65</v>
      </c>
      <c r="C23" s="18" t="n">
        <f aca="false">Inputs!F30</f>
        <v>0.5</v>
      </c>
      <c r="D23" s="18" t="n">
        <f aca="false">Inputs!G30</f>
        <v>0.4</v>
      </c>
    </row>
    <row r="25" customFormat="false" ht="15" hidden="false" customHeight="false" outlineLevel="0" collapsed="false">
      <c r="B25" s="13" t="s">
        <v>66</v>
      </c>
      <c r="C25" s="14"/>
      <c r="D25" s="14"/>
      <c r="E25" s="14"/>
      <c r="F25" s="14"/>
      <c r="G25" s="14"/>
      <c r="H25" s="14"/>
      <c r="I25" s="14"/>
      <c r="J25" s="14"/>
      <c r="K25" s="14"/>
    </row>
    <row r="26" customFormat="false" ht="30" hidden="false" customHeight="true" outlineLevel="0" collapsed="false">
      <c r="B26" s="20" t="s">
        <v>113</v>
      </c>
      <c r="C26" s="20"/>
      <c r="D26" s="20"/>
      <c r="E26" s="20"/>
      <c r="F26" s="20"/>
      <c r="G26" s="20"/>
      <c r="H26" s="20"/>
      <c r="I26" s="20"/>
      <c r="J26" s="20"/>
      <c r="K26" s="20"/>
    </row>
    <row r="28" customFormat="false" ht="15" hidden="false" customHeight="false" outlineLevel="0" collapsed="false">
      <c r="B28" s="13" t="s">
        <v>68</v>
      </c>
      <c r="C28" s="14"/>
      <c r="D28" s="14"/>
      <c r="E28" s="14"/>
      <c r="F28" s="14"/>
      <c r="G28" s="14"/>
      <c r="H28" s="14"/>
      <c r="I28" s="14"/>
      <c r="J28" s="14"/>
      <c r="K28" s="14"/>
    </row>
    <row r="29" customFormat="false" ht="30" hidden="false" customHeight="true" outlineLevel="0" collapsed="false">
      <c r="B29" s="21" t="s">
        <v>114</v>
      </c>
      <c r="C29" s="21"/>
      <c r="D29" s="21"/>
      <c r="E29" s="21"/>
      <c r="F29" s="21"/>
      <c r="G29" s="21"/>
      <c r="H29" s="21"/>
      <c r="I29" s="21"/>
      <c r="J29" s="21"/>
      <c r="K29" s="21"/>
    </row>
    <row r="31" customFormat="false" ht="15" hidden="false" customHeight="false" outlineLevel="0" collapsed="false">
      <c r="B31" s="13" t="s">
        <v>70</v>
      </c>
      <c r="C31" s="14"/>
      <c r="D31" s="14"/>
      <c r="E31" s="14"/>
      <c r="F31" s="14"/>
      <c r="G31" s="14"/>
      <c r="H31" s="14"/>
      <c r="I31" s="14"/>
      <c r="J31" s="14"/>
      <c r="K31" s="14"/>
    </row>
    <row r="32" customFormat="false" ht="15" hidden="false" customHeight="true" outlineLevel="0" collapsed="false">
      <c r="B32" s="15" t="s">
        <v>115</v>
      </c>
      <c r="C32" s="15"/>
      <c r="D32" s="15"/>
      <c r="E32" s="15"/>
      <c r="F32" s="15"/>
      <c r="G32" s="15"/>
      <c r="H32" s="15"/>
      <c r="I32" s="15"/>
      <c r="J32" s="15"/>
      <c r="K32" s="15"/>
    </row>
    <row r="33" customFormat="false" ht="15" hidden="false" customHeight="true" outlineLevel="0" collapsed="false">
      <c r="B33" s="15" t="s">
        <v>116</v>
      </c>
      <c r="C33" s="15"/>
      <c r="D33" s="15"/>
      <c r="E33" s="15"/>
      <c r="F33" s="15"/>
      <c r="G33" s="15"/>
      <c r="H33" s="15"/>
      <c r="I33" s="15"/>
      <c r="J33" s="15"/>
      <c r="K33" s="15"/>
    </row>
    <row r="34" customFormat="false" ht="15" hidden="false" customHeight="true" outlineLevel="0" collapsed="false">
      <c r="B34" s="15" t="s">
        <v>117</v>
      </c>
      <c r="C34" s="15"/>
      <c r="D34" s="15"/>
      <c r="E34" s="15"/>
      <c r="F34" s="15"/>
      <c r="G34" s="15"/>
      <c r="H34" s="15"/>
      <c r="I34" s="15"/>
      <c r="J34" s="15"/>
      <c r="K34" s="15"/>
    </row>
    <row r="35" customFormat="false" ht="15" hidden="false" customHeight="true" outlineLevel="0" collapsed="false">
      <c r="B35" s="15" t="s">
        <v>118</v>
      </c>
      <c r="C35" s="15"/>
      <c r="D35" s="15"/>
      <c r="E35" s="15"/>
      <c r="F35" s="15"/>
      <c r="G35" s="15"/>
      <c r="H35" s="15"/>
      <c r="I35" s="15"/>
      <c r="J35" s="15"/>
      <c r="K35" s="15"/>
    </row>
  </sheetData>
  <mergeCells count="8">
    <mergeCell ref="B5:K5"/>
    <mergeCell ref="B6:K6"/>
    <mergeCell ref="B26:K26"/>
    <mergeCell ref="B29:K29"/>
    <mergeCell ref="B32:K32"/>
    <mergeCell ref="B33:K33"/>
    <mergeCell ref="B34:K34"/>
    <mergeCell ref="B35:K3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5A623"/>
    <pageSetUpPr fitToPage="true"/>
  </sheetPr>
  <dimension ref="B1:K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10" min="3" style="0" width="11"/>
    <col collapsed="false" customWidth="true" hidden="false" outlineLevel="0" max="11" min="11" style="0" width="30"/>
  </cols>
  <sheetData>
    <row r="1" customFormat="false" ht="19.7" hidden="false" customHeight="false" outlineLevel="0" collapsed="false">
      <c r="B1" s="12" t="s">
        <v>119</v>
      </c>
    </row>
    <row r="2" customFormat="false" ht="15" hidden="false" customHeight="false" outlineLevel="0" collapsed="false">
      <c r="B2" s="2" t="s">
        <v>120</v>
      </c>
    </row>
    <row r="4" customFormat="false" ht="15" hidden="false" customHeight="false" outlineLevel="0" collapsed="false">
      <c r="B4" s="13" t="s">
        <v>45</v>
      </c>
      <c r="C4" s="14"/>
      <c r="D4" s="14"/>
      <c r="E4" s="14"/>
      <c r="F4" s="14"/>
      <c r="G4" s="14"/>
      <c r="H4" s="14"/>
      <c r="I4" s="14"/>
      <c r="J4" s="14"/>
      <c r="K4" s="14"/>
    </row>
    <row r="5" customFormat="false" ht="30" hidden="false" customHeight="true" outlineLevel="0" collapsed="false">
      <c r="B5" s="15" t="s">
        <v>121</v>
      </c>
      <c r="C5" s="15"/>
      <c r="D5" s="15"/>
      <c r="E5" s="15"/>
      <c r="F5" s="15"/>
      <c r="G5" s="15"/>
      <c r="H5" s="15"/>
      <c r="I5" s="15"/>
      <c r="J5" s="15"/>
      <c r="K5" s="15"/>
    </row>
    <row r="6" customFormat="false" ht="45" hidden="false" customHeight="true" outlineLevel="0" collapsed="false">
      <c r="B6" s="15" t="s">
        <v>122</v>
      </c>
      <c r="C6" s="15"/>
      <c r="D6" s="15"/>
      <c r="E6" s="15"/>
      <c r="F6" s="15"/>
      <c r="G6" s="15"/>
      <c r="H6" s="15"/>
      <c r="I6" s="15"/>
      <c r="J6" s="15"/>
      <c r="K6" s="15"/>
    </row>
    <row r="8" customFormat="false" ht="15" hidden="false" customHeight="false" outlineLevel="0" collapsed="false">
      <c r="B8" s="13" t="s">
        <v>49</v>
      </c>
      <c r="C8" s="14"/>
      <c r="D8" s="14"/>
      <c r="E8" s="14"/>
      <c r="F8" s="14"/>
      <c r="G8" s="14"/>
      <c r="H8" s="14"/>
      <c r="I8" s="14"/>
      <c r="J8" s="14"/>
      <c r="K8" s="14"/>
    </row>
    <row r="9" customFormat="false" ht="15" hidden="false" customHeight="false" outlineLevel="0" collapsed="false">
      <c r="B9" s="4" t="s">
        <v>50</v>
      </c>
      <c r="C9" s="16" t="s">
        <v>123</v>
      </c>
      <c r="D9" s="16" t="s">
        <v>124</v>
      </c>
      <c r="E9" s="16" t="s">
        <v>125</v>
      </c>
    </row>
    <row r="10" customFormat="false" ht="15" hidden="false" customHeight="false" outlineLevel="0" collapsed="false">
      <c r="B10" s="8" t="s">
        <v>52</v>
      </c>
      <c r="C10" s="17" t="n">
        <f aca="false">1_Rev_Profit_Cash!H6</f>
        <v>2600</v>
      </c>
      <c r="D10" s="17" t="n">
        <f aca="false">1_Rev_Profit_Cash!I6</f>
        <v>3800</v>
      </c>
      <c r="E10" s="17" t="n">
        <f aca="false">1_Rev_Profit_Cash!J6</f>
        <v>5000</v>
      </c>
    </row>
    <row r="11" customFormat="false" ht="15" hidden="false" customHeight="false" outlineLevel="0" collapsed="false">
      <c r="B11" s="8" t="s">
        <v>53</v>
      </c>
      <c r="C11" s="18" t="n">
        <f aca="false">1_Rev_Profit_Cash!H7</f>
        <v>0.733333333333333</v>
      </c>
      <c r="D11" s="18" t="n">
        <f aca="false">1_Rev_Profit_Cash!I7</f>
        <v>0.461538461538461</v>
      </c>
      <c r="E11" s="18" t="n">
        <f aca="false">1_Rev_Profit_Cash!J7</f>
        <v>0.315789473684211</v>
      </c>
    </row>
    <row r="12" customFormat="false" ht="15" hidden="false" customHeight="false" outlineLevel="0" collapsed="false">
      <c r="B12" s="8" t="s">
        <v>54</v>
      </c>
      <c r="C12" s="17" t="n">
        <f aca="false">1_Rev_Profit_Cash!H12</f>
        <v>390</v>
      </c>
      <c r="D12" s="17" t="n">
        <f aca="false">1_Rev_Profit_Cash!I12</f>
        <v>608</v>
      </c>
      <c r="E12" s="17" t="n">
        <f aca="false">1_Rev_Profit_Cash!J12</f>
        <v>850</v>
      </c>
    </row>
    <row r="13" customFormat="false" ht="15" hidden="false" customHeight="false" outlineLevel="0" collapsed="false">
      <c r="B13" s="8" t="s">
        <v>55</v>
      </c>
      <c r="C13" s="17" t="n">
        <f aca="false">1_Rev_Profit_Cash!H21</f>
        <v>194.495625</v>
      </c>
      <c r="D13" s="17" t="n">
        <f aca="false">1_Rev_Profit_Cash!I21</f>
        <v>338.308125</v>
      </c>
      <c r="E13" s="17" t="n">
        <f aca="false">1_Rev_Profit_Cash!J21</f>
        <v>503.068125</v>
      </c>
    </row>
    <row r="14" customFormat="false" ht="15" hidden="false" customHeight="false" outlineLevel="0" collapsed="false">
      <c r="B14" s="8" t="s">
        <v>56</v>
      </c>
      <c r="C14" s="17" t="n">
        <f aca="false">2_Working_Capital!H25</f>
        <v>170.397260273973</v>
      </c>
      <c r="D14" s="17" t="n">
        <f aca="false">2_Working_Capital!I25</f>
        <v>110.602739726027</v>
      </c>
      <c r="E14" s="17" t="n">
        <f aca="false">2_Working_Capital!J25</f>
        <v>153.58904109589</v>
      </c>
    </row>
    <row r="15" customFormat="false" ht="15" hidden="false" customHeight="false" outlineLevel="0" collapsed="false">
      <c r="B15" s="8" t="s">
        <v>57</v>
      </c>
      <c r="C15" s="17" t="n">
        <f aca="false">1_Rev_Profit_Cash!H28</f>
        <v>118.398364726028</v>
      </c>
      <c r="D15" s="17" t="n">
        <f aca="false">1_Rev_Profit_Cash!I28</f>
        <v>347.005385273973</v>
      </c>
      <c r="E15" s="17" t="n">
        <f aca="false">1_Rev_Profit_Cash!J28</f>
        <v>493.77908390411</v>
      </c>
    </row>
    <row r="16" customFormat="false" ht="15" hidden="false" customHeight="false" outlineLevel="0" collapsed="false">
      <c r="B16" s="8" t="s">
        <v>58</v>
      </c>
      <c r="C16" s="17" t="n">
        <f aca="false">Inputs!H10</f>
        <v>350</v>
      </c>
      <c r="D16" s="17" t="n">
        <f aca="false">Inputs!I10</f>
        <v>250</v>
      </c>
      <c r="E16" s="17" t="n">
        <f aca="false">Inputs!J10</f>
        <v>250</v>
      </c>
    </row>
    <row r="17" customFormat="false" ht="15" hidden="false" customHeight="false" outlineLevel="0" collapsed="false">
      <c r="B17" s="8" t="s">
        <v>59</v>
      </c>
      <c r="C17" s="17" t="n">
        <f aca="false">1_Rev_Profit_Cash!H29</f>
        <v>-195.229135273972</v>
      </c>
      <c r="D17" s="17" t="n">
        <f aca="false">1_Rev_Profit_Cash!I29</f>
        <v>134.627885273973</v>
      </c>
      <c r="E17" s="17" t="n">
        <f aca="false">1_Rev_Profit_Cash!J29</f>
        <v>278.72158390411</v>
      </c>
    </row>
    <row r="18" customFormat="false" ht="15" hidden="false" customHeight="false" outlineLevel="0" collapsed="false">
      <c r="B18" s="8" t="s">
        <v>60</v>
      </c>
      <c r="C18" s="17" t="n">
        <f aca="false">1_Rev_Profit_Cash!H30</f>
        <v>195.229135273972</v>
      </c>
      <c r="D18" s="17" t="n">
        <f aca="false">1_Rev_Profit_Cash!I30</f>
        <v>0</v>
      </c>
      <c r="E18" s="17" t="n">
        <f aca="false">1_Rev_Profit_Cash!J30</f>
        <v>0</v>
      </c>
    </row>
    <row r="19" customFormat="false" ht="15" hidden="false" customHeight="false" outlineLevel="0" collapsed="false">
      <c r="B19" s="8" t="s">
        <v>61</v>
      </c>
      <c r="C19" s="17" t="n">
        <f aca="false">1_Rev_Profit_Cash!H39</f>
        <v>348.6275</v>
      </c>
      <c r="D19" s="17" t="n">
        <f aca="false">1_Rev_Profit_Cash!I39</f>
        <v>-52.6225</v>
      </c>
      <c r="E19" s="17" t="n">
        <f aca="false">1_Rev_Profit_Cash!J39</f>
        <v>-71.9425</v>
      </c>
    </row>
    <row r="20" customFormat="false" ht="15" hidden="false" customHeight="false" outlineLevel="0" collapsed="false">
      <c r="B20" s="8" t="s">
        <v>62</v>
      </c>
      <c r="C20" s="17" t="n">
        <f aca="false">1_Rev_Profit_Cash!H42</f>
        <v>245.808715753425</v>
      </c>
      <c r="D20" s="17" t="n">
        <f aca="false">1_Rev_Profit_Cash!I42</f>
        <v>327.814101027397</v>
      </c>
      <c r="E20" s="17" t="n">
        <f aca="false">1_Rev_Profit_Cash!J42</f>
        <v>534.593184931507</v>
      </c>
    </row>
    <row r="21" customFormat="false" ht="15" hidden="false" customHeight="false" outlineLevel="0" collapsed="false">
      <c r="B21" s="8" t="s">
        <v>63</v>
      </c>
      <c r="C21" s="19" t="n">
        <f aca="false">2_Working_Capital!H15</f>
        <v>153.25</v>
      </c>
      <c r="D21" s="19" t="n">
        <f aca="false">2_Working_Capital!I15</f>
        <v>143.25</v>
      </c>
      <c r="E21" s="19" t="n">
        <f aca="false">2_Working_Capital!J15</f>
        <v>138.25</v>
      </c>
    </row>
    <row r="22" customFormat="false" ht="15" hidden="false" customHeight="false" outlineLevel="0" collapsed="false">
      <c r="B22" s="8" t="s">
        <v>64</v>
      </c>
      <c r="C22" s="19" t="n">
        <f aca="false">2_Working_Capital!H16</f>
        <v>87.7</v>
      </c>
      <c r="D22" s="19" t="n">
        <f aca="false">2_Working_Capital!I16</f>
        <v>69.05</v>
      </c>
      <c r="E22" s="19" t="n">
        <f aca="false">2_Working_Capital!J16</f>
        <v>64.05</v>
      </c>
    </row>
    <row r="23" customFormat="false" ht="15" hidden="false" customHeight="false" outlineLevel="0" collapsed="false">
      <c r="B23" s="8" t="s">
        <v>65</v>
      </c>
      <c r="C23" s="18" t="n">
        <f aca="false">Inputs!H30</f>
        <v>0.3</v>
      </c>
      <c r="D23" s="18" t="n">
        <f aca="false">Inputs!I30</f>
        <v>0.25</v>
      </c>
      <c r="E23" s="18" t="n">
        <f aca="false">Inputs!J30</f>
        <v>0.2</v>
      </c>
    </row>
    <row r="25" customFormat="false" ht="15" hidden="false" customHeight="false" outlineLevel="0" collapsed="false">
      <c r="B25" s="13" t="s">
        <v>66</v>
      </c>
      <c r="C25" s="14"/>
      <c r="D25" s="14"/>
      <c r="E25" s="14"/>
      <c r="F25" s="14"/>
      <c r="G25" s="14"/>
      <c r="H25" s="14"/>
      <c r="I25" s="14"/>
      <c r="J25" s="14"/>
      <c r="K25" s="14"/>
    </row>
    <row r="26" customFormat="false" ht="15" hidden="false" customHeight="true" outlineLevel="0" collapsed="false">
      <c r="B26" s="20" t="s">
        <v>126</v>
      </c>
      <c r="C26" s="20"/>
      <c r="D26" s="20"/>
      <c r="E26" s="20"/>
      <c r="F26" s="20"/>
      <c r="G26" s="20"/>
      <c r="H26" s="20"/>
      <c r="I26" s="20"/>
      <c r="J26" s="20"/>
      <c r="K26" s="20"/>
    </row>
    <row r="28" customFormat="false" ht="15" hidden="false" customHeight="false" outlineLevel="0" collapsed="false">
      <c r="B28" s="13" t="s">
        <v>68</v>
      </c>
      <c r="C28" s="14"/>
      <c r="D28" s="14"/>
      <c r="E28" s="14"/>
      <c r="F28" s="14"/>
      <c r="G28" s="14"/>
      <c r="H28" s="14"/>
      <c r="I28" s="14"/>
      <c r="J28" s="14"/>
      <c r="K28" s="14"/>
    </row>
    <row r="29" customFormat="false" ht="30" hidden="false" customHeight="true" outlineLevel="0" collapsed="false">
      <c r="B29" s="21" t="s">
        <v>127</v>
      </c>
      <c r="C29" s="21"/>
      <c r="D29" s="21"/>
      <c r="E29" s="21"/>
      <c r="F29" s="21"/>
      <c r="G29" s="21"/>
      <c r="H29" s="21"/>
      <c r="I29" s="21"/>
      <c r="J29" s="21"/>
      <c r="K29" s="21"/>
    </row>
    <row r="31" customFormat="false" ht="15" hidden="false" customHeight="false" outlineLevel="0" collapsed="false">
      <c r="B31" s="13" t="s">
        <v>70</v>
      </c>
      <c r="C31" s="14"/>
      <c r="D31" s="14"/>
      <c r="E31" s="14"/>
      <c r="F31" s="14"/>
      <c r="G31" s="14"/>
      <c r="H31" s="14"/>
      <c r="I31" s="14"/>
      <c r="J31" s="14"/>
      <c r="K31" s="14"/>
    </row>
    <row r="32" customFormat="false" ht="15" hidden="false" customHeight="true" outlineLevel="0" collapsed="false">
      <c r="B32" s="15" t="s">
        <v>128</v>
      </c>
      <c r="C32" s="15"/>
      <c r="D32" s="15"/>
      <c r="E32" s="15"/>
      <c r="F32" s="15"/>
      <c r="G32" s="15"/>
      <c r="H32" s="15"/>
      <c r="I32" s="15"/>
      <c r="J32" s="15"/>
      <c r="K32" s="15"/>
    </row>
    <row r="33" customFormat="false" ht="15" hidden="false" customHeight="true" outlineLevel="0" collapsed="false">
      <c r="B33" s="15" t="s">
        <v>129</v>
      </c>
      <c r="C33" s="15"/>
      <c r="D33" s="15"/>
      <c r="E33" s="15"/>
      <c r="F33" s="15"/>
      <c r="G33" s="15"/>
      <c r="H33" s="15"/>
      <c r="I33" s="15"/>
      <c r="J33" s="15"/>
      <c r="K33" s="15"/>
    </row>
    <row r="34" customFormat="false" ht="15" hidden="false" customHeight="true" outlineLevel="0" collapsed="false">
      <c r="B34" s="15" t="s">
        <v>130</v>
      </c>
      <c r="C34" s="15"/>
      <c r="D34" s="15"/>
      <c r="E34" s="15"/>
      <c r="F34" s="15"/>
      <c r="G34" s="15"/>
      <c r="H34" s="15"/>
      <c r="I34" s="15"/>
      <c r="J34" s="15"/>
      <c r="K34" s="15"/>
    </row>
    <row r="35" customFormat="false" ht="15" hidden="false" customHeight="true" outlineLevel="0" collapsed="false">
      <c r="B35" s="15" t="s">
        <v>131</v>
      </c>
      <c r="C35" s="15"/>
      <c r="D35" s="15"/>
      <c r="E35" s="15"/>
      <c r="F35" s="15"/>
      <c r="G35" s="15"/>
      <c r="H35" s="15"/>
      <c r="I35" s="15"/>
      <c r="J35" s="15"/>
      <c r="K35" s="15"/>
    </row>
  </sheetData>
  <mergeCells count="8">
    <mergeCell ref="B5:K5"/>
    <mergeCell ref="B6:K6"/>
    <mergeCell ref="B26:K26"/>
    <mergeCell ref="B29:K29"/>
    <mergeCell ref="B32:K32"/>
    <mergeCell ref="B33:K33"/>
    <mergeCell ref="B34:K34"/>
    <mergeCell ref="B35:K3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B1:K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10" min="3" style="0" width="11"/>
    <col collapsed="false" customWidth="true" hidden="false" outlineLevel="0" max="11" min="11" style="0" width="60"/>
  </cols>
  <sheetData>
    <row r="1" customFormat="false" ht="19.7" hidden="false" customHeight="false" outlineLevel="0" collapsed="false">
      <c r="B1" s="12" t="s">
        <v>132</v>
      </c>
    </row>
    <row r="2" customFormat="false" ht="15" hidden="false" customHeight="false" outlineLevel="0" collapsed="false">
      <c r="B2" s="2" t="s">
        <v>133</v>
      </c>
    </row>
    <row r="4" customFormat="false" ht="15" hidden="false" customHeight="false" outlineLevel="0" collapsed="false">
      <c r="B4" s="22" t="s">
        <v>134</v>
      </c>
      <c r="C4" s="16" t="s">
        <v>51</v>
      </c>
      <c r="D4" s="16" t="s">
        <v>79</v>
      </c>
      <c r="E4" s="16" t="s">
        <v>90</v>
      </c>
      <c r="F4" s="16" t="s">
        <v>101</v>
      </c>
      <c r="G4" s="16" t="s">
        <v>112</v>
      </c>
      <c r="H4" s="16" t="s">
        <v>123</v>
      </c>
      <c r="I4" s="16" t="s">
        <v>124</v>
      </c>
      <c r="J4" s="16" t="s">
        <v>125</v>
      </c>
      <c r="K4" s="22" t="s">
        <v>135</v>
      </c>
    </row>
    <row r="5" customFormat="false" ht="15" hidden="false" customHeight="false" outlineLevel="0" collapsed="false">
      <c r="B5" s="13" t="s">
        <v>136</v>
      </c>
      <c r="C5" s="14"/>
      <c r="D5" s="14"/>
      <c r="E5" s="14"/>
      <c r="F5" s="14"/>
      <c r="G5" s="14"/>
      <c r="H5" s="14"/>
      <c r="I5" s="14"/>
      <c r="J5" s="14"/>
      <c r="K5" s="14"/>
    </row>
    <row r="6" customFormat="false" ht="15" hidden="false" customHeight="false" outlineLevel="0" collapsed="false">
      <c r="B6" s="8" t="s">
        <v>137</v>
      </c>
      <c r="C6" s="23" t="n">
        <v>60</v>
      </c>
      <c r="D6" s="23" t="n">
        <v>180</v>
      </c>
      <c r="E6" s="23" t="n">
        <v>420</v>
      </c>
      <c r="F6" s="23" t="n">
        <v>800</v>
      </c>
      <c r="G6" s="23" t="n">
        <v>1500</v>
      </c>
      <c r="H6" s="23" t="n">
        <v>2600</v>
      </c>
      <c r="I6" s="23" t="n">
        <v>3800</v>
      </c>
      <c r="J6" s="23" t="n">
        <v>5000</v>
      </c>
      <c r="K6" s="24" t="s">
        <v>138</v>
      </c>
    </row>
    <row r="7" customFormat="false" ht="15" hidden="false" customHeight="false" outlineLevel="0" collapsed="false">
      <c r="B7" s="8" t="s">
        <v>139</v>
      </c>
      <c r="C7" s="25" t="n">
        <v>0.22</v>
      </c>
      <c r="D7" s="25" t="n">
        <v>0.24</v>
      </c>
      <c r="E7" s="25" t="n">
        <v>0.27</v>
      </c>
      <c r="F7" s="25" t="n">
        <v>0.28</v>
      </c>
      <c r="G7" s="25" t="n">
        <v>0.29</v>
      </c>
      <c r="H7" s="25" t="n">
        <v>0.3</v>
      </c>
      <c r="I7" s="25" t="n">
        <v>0.3</v>
      </c>
      <c r="J7" s="25" t="n">
        <v>0.3</v>
      </c>
      <c r="K7" s="24" t="s">
        <v>140</v>
      </c>
    </row>
    <row r="8" customFormat="false" ht="15" hidden="false" customHeight="false" outlineLevel="0" collapsed="false">
      <c r="B8" s="8" t="s">
        <v>141</v>
      </c>
      <c r="C8" s="25" t="n">
        <v>0.26</v>
      </c>
      <c r="D8" s="25" t="n">
        <v>0.18</v>
      </c>
      <c r="E8" s="25" t="n">
        <v>0.14</v>
      </c>
      <c r="F8" s="25" t="n">
        <v>0.13</v>
      </c>
      <c r="G8" s="25" t="n">
        <v>0.12</v>
      </c>
      <c r="H8" s="25" t="n">
        <v>0.11</v>
      </c>
      <c r="I8" s="25" t="n">
        <v>0.105</v>
      </c>
      <c r="J8" s="25" t="n">
        <v>0.1</v>
      </c>
      <c r="K8" s="24" t="s">
        <v>142</v>
      </c>
    </row>
    <row r="9" customFormat="false" ht="15" hidden="false" customHeight="false" outlineLevel="0" collapsed="false">
      <c r="B9" s="8" t="s">
        <v>143</v>
      </c>
      <c r="C9" s="25" t="n">
        <v>0.02</v>
      </c>
      <c r="D9" s="25" t="n">
        <v>0.02</v>
      </c>
      <c r="E9" s="25" t="n">
        <v>0.06</v>
      </c>
      <c r="F9" s="25" t="n">
        <v>0.05</v>
      </c>
      <c r="G9" s="25" t="n">
        <v>0.05</v>
      </c>
      <c r="H9" s="25" t="n">
        <v>0.04</v>
      </c>
      <c r="I9" s="25" t="n">
        <v>0.035</v>
      </c>
      <c r="J9" s="25" t="n">
        <v>0.03</v>
      </c>
      <c r="K9" s="24" t="s">
        <v>144</v>
      </c>
    </row>
    <row r="10" customFormat="false" ht="15" hidden="false" customHeight="false" outlineLevel="0" collapsed="false">
      <c r="B10" s="8" t="s">
        <v>58</v>
      </c>
      <c r="C10" s="23" t="n">
        <v>8</v>
      </c>
      <c r="D10" s="23" t="n">
        <v>25</v>
      </c>
      <c r="E10" s="23" t="n">
        <v>40</v>
      </c>
      <c r="F10" s="23" t="n">
        <v>120</v>
      </c>
      <c r="G10" s="23" t="n">
        <v>400</v>
      </c>
      <c r="H10" s="23" t="n">
        <v>350</v>
      </c>
      <c r="I10" s="23" t="n">
        <v>250</v>
      </c>
      <c r="J10" s="23" t="n">
        <v>250</v>
      </c>
      <c r="K10" s="24" t="s">
        <v>145</v>
      </c>
    </row>
    <row r="12" customFormat="false" ht="15" hidden="false" customHeight="false" outlineLevel="0" collapsed="false">
      <c r="B12" s="13" t="s">
        <v>146</v>
      </c>
      <c r="C12" s="14"/>
      <c r="D12" s="14"/>
      <c r="E12" s="14"/>
      <c r="F12" s="14"/>
      <c r="G12" s="14"/>
      <c r="H12" s="14"/>
      <c r="I12" s="14"/>
      <c r="J12" s="14"/>
      <c r="K12" s="14"/>
    </row>
    <row r="13" customFormat="false" ht="15" hidden="false" customHeight="false" outlineLevel="0" collapsed="false">
      <c r="B13" s="8" t="s">
        <v>147</v>
      </c>
      <c r="C13" s="26" t="n">
        <v>75</v>
      </c>
      <c r="D13" s="26" t="n">
        <v>90</v>
      </c>
      <c r="E13" s="26" t="n">
        <v>95</v>
      </c>
      <c r="F13" s="26" t="n">
        <v>90</v>
      </c>
      <c r="G13" s="26" t="n">
        <v>85</v>
      </c>
      <c r="H13" s="26" t="n">
        <v>80</v>
      </c>
      <c r="I13" s="26" t="n">
        <v>75</v>
      </c>
      <c r="J13" s="26" t="n">
        <v>70</v>
      </c>
      <c r="K13" s="24" t="s">
        <v>148</v>
      </c>
    </row>
    <row r="14" customFormat="false" ht="15" hidden="false" customHeight="false" outlineLevel="0" collapsed="false">
      <c r="B14" s="8" t="s">
        <v>149</v>
      </c>
      <c r="C14" s="25" t="n">
        <v>0.05</v>
      </c>
      <c r="D14" s="25" t="n">
        <v>0.05</v>
      </c>
      <c r="E14" s="25" t="n">
        <v>0.05</v>
      </c>
      <c r="F14" s="25" t="n">
        <v>0.05</v>
      </c>
      <c r="G14" s="25" t="n">
        <v>0.05</v>
      </c>
      <c r="H14" s="25" t="n">
        <v>0.05</v>
      </c>
      <c r="I14" s="25" t="n">
        <v>0.05</v>
      </c>
      <c r="J14" s="25" t="n">
        <v>0.05</v>
      </c>
      <c r="K14" s="24" t="s">
        <v>150</v>
      </c>
    </row>
    <row r="15" customFormat="false" ht="15" hidden="false" customHeight="false" outlineLevel="0" collapsed="false">
      <c r="B15" s="8" t="s">
        <v>151</v>
      </c>
      <c r="C15" s="26" t="n">
        <v>45</v>
      </c>
      <c r="D15" s="26" t="n">
        <v>50</v>
      </c>
      <c r="E15" s="26" t="n">
        <v>55</v>
      </c>
      <c r="F15" s="26" t="n">
        <v>60</v>
      </c>
      <c r="G15" s="26" t="n">
        <v>60</v>
      </c>
      <c r="H15" s="26" t="n">
        <v>55</v>
      </c>
      <c r="I15" s="26" t="n">
        <v>50</v>
      </c>
      <c r="J15" s="26" t="n">
        <v>50</v>
      </c>
      <c r="K15" s="24" t="s">
        <v>152</v>
      </c>
    </row>
    <row r="16" customFormat="false" ht="15" hidden="false" customHeight="false" outlineLevel="0" collapsed="false">
      <c r="B16" s="8" t="s">
        <v>153</v>
      </c>
      <c r="C16" s="26" t="n">
        <v>15</v>
      </c>
      <c r="D16" s="26" t="n">
        <v>20</v>
      </c>
      <c r="E16" s="26" t="n">
        <v>25</v>
      </c>
      <c r="F16" s="26" t="n">
        <v>30</v>
      </c>
      <c r="G16" s="26" t="n">
        <v>35</v>
      </c>
      <c r="H16" s="26" t="n">
        <v>40</v>
      </c>
      <c r="I16" s="26" t="n">
        <v>45</v>
      </c>
      <c r="J16" s="26" t="n">
        <v>45</v>
      </c>
      <c r="K16" s="24" t="s">
        <v>154</v>
      </c>
    </row>
    <row r="17" customFormat="false" ht="15" hidden="false" customHeight="false" outlineLevel="0" collapsed="false">
      <c r="B17" s="8" t="s">
        <v>155</v>
      </c>
      <c r="C17" s="25" t="n">
        <v>0</v>
      </c>
      <c r="D17" s="25" t="n">
        <v>0</v>
      </c>
      <c r="E17" s="25" t="n">
        <v>0.03</v>
      </c>
      <c r="F17" s="25" t="n">
        <v>0.05</v>
      </c>
      <c r="G17" s="25" t="n">
        <v>0.05</v>
      </c>
      <c r="H17" s="25" t="n">
        <v>0.07</v>
      </c>
      <c r="I17" s="25" t="n">
        <v>0.08</v>
      </c>
      <c r="J17" s="25" t="n">
        <v>0.08</v>
      </c>
      <c r="K17" s="24" t="s">
        <v>156</v>
      </c>
    </row>
    <row r="19" customFormat="false" ht="15" hidden="false" customHeight="false" outlineLevel="0" collapsed="false">
      <c r="B19" s="13" t="s">
        <v>157</v>
      </c>
      <c r="C19" s="14"/>
      <c r="D19" s="14"/>
      <c r="E19" s="14"/>
      <c r="F19" s="14"/>
      <c r="G19" s="14"/>
      <c r="H19" s="14"/>
      <c r="I19" s="14"/>
      <c r="J19" s="14"/>
      <c r="K19" s="14"/>
    </row>
    <row r="20" customFormat="false" ht="15" hidden="false" customHeight="false" outlineLevel="0" collapsed="false">
      <c r="B20" s="8" t="s">
        <v>158</v>
      </c>
      <c r="C20" s="23" t="n">
        <v>25</v>
      </c>
      <c r="D20" s="23" t="n">
        <v>0</v>
      </c>
      <c r="E20" s="23" t="n">
        <v>0</v>
      </c>
      <c r="F20" s="23" t="n">
        <v>0</v>
      </c>
      <c r="G20" s="23" t="n">
        <v>0</v>
      </c>
      <c r="H20" s="23" t="n">
        <v>0</v>
      </c>
      <c r="I20" s="23" t="n">
        <v>0</v>
      </c>
      <c r="J20" s="23" t="n">
        <v>0</v>
      </c>
    </row>
    <row r="21" customFormat="false" ht="15" hidden="false" customHeight="false" outlineLevel="0" collapsed="false">
      <c r="B21" s="8" t="s">
        <v>159</v>
      </c>
      <c r="C21" s="23" t="n">
        <v>10</v>
      </c>
      <c r="D21" s="23" t="n">
        <v>0</v>
      </c>
      <c r="E21" s="23" t="n">
        <v>0</v>
      </c>
      <c r="F21" s="23" t="n">
        <v>0</v>
      </c>
      <c r="G21" s="23" t="n">
        <v>0</v>
      </c>
      <c r="H21" s="23" t="n">
        <v>0</v>
      </c>
      <c r="I21" s="23" t="n">
        <v>0</v>
      </c>
      <c r="J21" s="23" t="n">
        <v>0</v>
      </c>
    </row>
    <row r="22" customFormat="false" ht="15" hidden="false" customHeight="false" outlineLevel="0" collapsed="false">
      <c r="B22" s="8" t="s">
        <v>160</v>
      </c>
      <c r="C22" s="23" t="n">
        <v>0</v>
      </c>
      <c r="D22" s="23" t="n">
        <v>30</v>
      </c>
      <c r="E22" s="23" t="n">
        <v>45</v>
      </c>
      <c r="F22" s="23" t="n">
        <v>60</v>
      </c>
      <c r="G22" s="23" t="n">
        <v>0</v>
      </c>
      <c r="H22" s="23" t="n">
        <v>0</v>
      </c>
      <c r="I22" s="23" t="n">
        <v>0</v>
      </c>
      <c r="J22" s="23" t="n">
        <v>0</v>
      </c>
      <c r="K22" s="24" t="s">
        <v>161</v>
      </c>
    </row>
    <row r="23" customFormat="false" ht="15" hidden="false" customHeight="false" outlineLevel="0" collapsed="false">
      <c r="B23" s="8" t="s">
        <v>162</v>
      </c>
      <c r="C23" s="23" t="n">
        <v>0</v>
      </c>
      <c r="D23" s="23" t="n">
        <v>0</v>
      </c>
      <c r="E23" s="23" t="n">
        <v>6</v>
      </c>
      <c r="F23" s="23" t="n">
        <v>12</v>
      </c>
      <c r="G23" s="23" t="n">
        <v>20</v>
      </c>
      <c r="H23" s="23" t="n">
        <v>25</v>
      </c>
      <c r="I23" s="23" t="n">
        <v>35</v>
      </c>
      <c r="J23" s="23" t="n">
        <v>37</v>
      </c>
    </row>
    <row r="24" customFormat="false" ht="15" hidden="false" customHeight="false" outlineLevel="0" collapsed="false">
      <c r="B24" s="8" t="s">
        <v>163</v>
      </c>
      <c r="C24" s="23" t="n">
        <v>0</v>
      </c>
      <c r="D24" s="23" t="n">
        <v>40</v>
      </c>
      <c r="E24" s="23" t="n">
        <v>110</v>
      </c>
      <c r="F24" s="23" t="n">
        <v>160</v>
      </c>
      <c r="G24" s="23" t="n">
        <v>220</v>
      </c>
      <c r="H24" s="23" t="n">
        <v>280</v>
      </c>
      <c r="I24" s="23" t="n">
        <v>300</v>
      </c>
      <c r="J24" s="23" t="n">
        <v>300</v>
      </c>
      <c r="K24" s="24" t="s">
        <v>164</v>
      </c>
    </row>
    <row r="25" customFormat="false" ht="15" hidden="false" customHeight="false" outlineLevel="0" collapsed="false">
      <c r="B25" s="8" t="s">
        <v>165</v>
      </c>
      <c r="C25" s="23" t="n">
        <v>0</v>
      </c>
      <c r="D25" s="23" t="n">
        <v>0</v>
      </c>
      <c r="E25" s="23" t="n">
        <v>0</v>
      </c>
      <c r="F25" s="23" t="n">
        <v>120</v>
      </c>
      <c r="G25" s="23" t="n">
        <v>0</v>
      </c>
      <c r="H25" s="23" t="n">
        <v>0</v>
      </c>
      <c r="I25" s="23" t="n">
        <v>0</v>
      </c>
      <c r="J25" s="23" t="n">
        <v>0</v>
      </c>
      <c r="K25" s="24" t="s">
        <v>166</v>
      </c>
    </row>
    <row r="26" customFormat="false" ht="15" hidden="false" customHeight="false" outlineLevel="0" collapsed="false">
      <c r="B26" s="8" t="s">
        <v>167</v>
      </c>
      <c r="C26" s="23" t="n">
        <v>0</v>
      </c>
      <c r="D26" s="23" t="n">
        <v>0</v>
      </c>
      <c r="E26" s="23" t="n">
        <v>0</v>
      </c>
      <c r="F26" s="23" t="n">
        <v>0</v>
      </c>
      <c r="G26" s="23" t="n">
        <v>450</v>
      </c>
      <c r="H26" s="23" t="n">
        <v>0</v>
      </c>
      <c r="I26" s="23" t="n">
        <v>0</v>
      </c>
      <c r="J26" s="23" t="n">
        <v>0</v>
      </c>
      <c r="K26" s="24" t="s">
        <v>168</v>
      </c>
    </row>
    <row r="27" customFormat="false" ht="15" hidden="false" customHeight="false" outlineLevel="0" collapsed="false">
      <c r="B27" s="8" t="s">
        <v>169</v>
      </c>
      <c r="C27" s="23" t="n">
        <v>0</v>
      </c>
      <c r="D27" s="23" t="n">
        <v>0</v>
      </c>
      <c r="E27" s="23" t="n">
        <v>0</v>
      </c>
      <c r="F27" s="23" t="n">
        <v>0</v>
      </c>
      <c r="G27" s="23" t="n">
        <v>0</v>
      </c>
      <c r="H27" s="23" t="n">
        <v>350</v>
      </c>
      <c r="I27" s="23" t="n">
        <v>0</v>
      </c>
      <c r="J27" s="23" t="n">
        <v>0</v>
      </c>
      <c r="K27" s="24" t="s">
        <v>170</v>
      </c>
    </row>
    <row r="29" customFormat="false" ht="15" hidden="false" customHeight="false" outlineLevel="0" collapsed="false">
      <c r="B29" s="13" t="s">
        <v>171</v>
      </c>
      <c r="C29" s="14"/>
      <c r="D29" s="14"/>
      <c r="E29" s="14"/>
      <c r="F29" s="14"/>
      <c r="G29" s="14"/>
      <c r="H29" s="14"/>
      <c r="I29" s="14"/>
      <c r="J29" s="14"/>
      <c r="K29" s="14"/>
    </row>
    <row r="30" customFormat="false" ht="22.35" hidden="false" customHeight="false" outlineLevel="0" collapsed="false">
      <c r="B30" s="8" t="s">
        <v>172</v>
      </c>
      <c r="C30" s="25" t="n">
        <v>0.3</v>
      </c>
      <c r="D30" s="25" t="n">
        <v>0.3</v>
      </c>
      <c r="E30" s="25" t="n">
        <v>0.3</v>
      </c>
      <c r="F30" s="25" t="n">
        <v>0.5</v>
      </c>
      <c r="G30" s="25" t="n">
        <v>0.4</v>
      </c>
      <c r="H30" s="25" t="n">
        <v>0.3</v>
      </c>
      <c r="I30" s="25" t="n">
        <v>0.25</v>
      </c>
      <c r="J30" s="25" t="n">
        <v>0.2</v>
      </c>
      <c r="K30" s="24" t="s">
        <v>173</v>
      </c>
    </row>
    <row r="31" customFormat="false" ht="15" hidden="false" customHeight="false" outlineLevel="0" collapsed="false">
      <c r="B31" s="8" t="s">
        <v>174</v>
      </c>
      <c r="C31" s="25" t="n">
        <v>0</v>
      </c>
      <c r="D31" s="25" t="n">
        <v>0.5</v>
      </c>
      <c r="E31" s="25" t="n">
        <v>0.5</v>
      </c>
      <c r="F31" s="25" t="n">
        <v>0.35</v>
      </c>
      <c r="G31" s="25" t="n">
        <v>0.2</v>
      </c>
      <c r="H31" s="25" t="n">
        <v>0.15</v>
      </c>
      <c r="I31" s="25" t="n">
        <v>0.15</v>
      </c>
      <c r="J31" s="25" t="n">
        <v>0.15</v>
      </c>
      <c r="K31" s="24" t="s">
        <v>175</v>
      </c>
    </row>
    <row r="32" customFormat="false" ht="15" hidden="false" customHeight="false" outlineLevel="0" collapsed="false">
      <c r="B32" s="8" t="s">
        <v>176</v>
      </c>
      <c r="C32" s="23" t="n">
        <v>6</v>
      </c>
      <c r="D32" s="23" t="n">
        <v>9</v>
      </c>
      <c r="E32" s="23" t="n">
        <v>12</v>
      </c>
      <c r="F32" s="23" t="n">
        <v>18</v>
      </c>
      <c r="G32" s="23" t="n">
        <v>18</v>
      </c>
      <c r="H32" s="23" t="n">
        <v>18</v>
      </c>
      <c r="I32" s="23" t="n">
        <v>18</v>
      </c>
      <c r="J32" s="23" t="n">
        <v>18</v>
      </c>
      <c r="K32" s="24" t="s">
        <v>177</v>
      </c>
    </row>
    <row r="34" customFormat="false" ht="15" hidden="false" customHeight="false" outlineLevel="0" collapsed="false">
      <c r="B34" s="13" t="s">
        <v>178</v>
      </c>
      <c r="C34" s="14"/>
      <c r="D34" s="14"/>
      <c r="E34" s="14"/>
      <c r="F34" s="14"/>
      <c r="G34" s="14"/>
      <c r="H34" s="14"/>
      <c r="I34" s="14"/>
      <c r="J34" s="14"/>
      <c r="K34" s="14"/>
    </row>
    <row r="35" customFormat="false" ht="15" hidden="false" customHeight="false" outlineLevel="0" collapsed="false">
      <c r="B35" s="8" t="s">
        <v>179</v>
      </c>
      <c r="C35" s="25" t="n">
        <v>0.25</v>
      </c>
      <c r="D35" s="27" t="s">
        <v>180</v>
      </c>
      <c r="E35" s="27"/>
      <c r="F35" s="27"/>
      <c r="G35" s="27"/>
      <c r="H35" s="27"/>
      <c r="I35" s="27"/>
      <c r="J35" s="27"/>
      <c r="K35" s="27"/>
    </row>
    <row r="36" customFormat="false" ht="15" hidden="false" customHeight="false" outlineLevel="0" collapsed="false">
      <c r="B36" s="8" t="s">
        <v>181</v>
      </c>
      <c r="C36" s="25" t="n">
        <v>0.1</v>
      </c>
      <c r="D36" s="27" t="s">
        <v>182</v>
      </c>
      <c r="E36" s="27"/>
      <c r="F36" s="27"/>
      <c r="G36" s="27"/>
      <c r="H36" s="27"/>
      <c r="I36" s="27"/>
      <c r="J36" s="27"/>
      <c r="K36" s="27"/>
    </row>
    <row r="37" customFormat="false" ht="15" hidden="false" customHeight="false" outlineLevel="0" collapsed="false">
      <c r="B37" s="8" t="s">
        <v>183</v>
      </c>
      <c r="C37" s="25" t="n">
        <v>0.105</v>
      </c>
      <c r="D37" s="27" t="s">
        <v>184</v>
      </c>
      <c r="E37" s="27"/>
      <c r="F37" s="27"/>
      <c r="G37" s="27"/>
      <c r="H37" s="27"/>
      <c r="I37" s="27"/>
      <c r="J37" s="27"/>
      <c r="K37" s="27"/>
    </row>
    <row r="38" customFormat="false" ht="15" hidden="false" customHeight="false" outlineLevel="0" collapsed="false">
      <c r="B38" s="8" t="s">
        <v>185</v>
      </c>
      <c r="C38" s="25" t="n">
        <v>0.11</v>
      </c>
      <c r="D38" s="27" t="s">
        <v>184</v>
      </c>
      <c r="E38" s="27"/>
      <c r="F38" s="27"/>
      <c r="G38" s="27"/>
      <c r="H38" s="27"/>
      <c r="I38" s="27"/>
      <c r="J38" s="27"/>
      <c r="K38" s="27"/>
    </row>
    <row r="39" customFormat="false" ht="15" hidden="false" customHeight="false" outlineLevel="0" collapsed="false">
      <c r="B39" s="8" t="s">
        <v>186</v>
      </c>
      <c r="C39" s="23" t="n">
        <v>3</v>
      </c>
      <c r="D39" s="27" t="s">
        <v>187</v>
      </c>
      <c r="E39" s="27"/>
      <c r="F39" s="27"/>
      <c r="G39" s="27"/>
      <c r="H39" s="27"/>
      <c r="I39" s="27"/>
      <c r="J39" s="27"/>
      <c r="K39" s="27"/>
    </row>
    <row r="40" customFormat="false" ht="15" hidden="false" customHeight="false" outlineLevel="0" collapsed="false">
      <c r="B40" s="8" t="s">
        <v>188</v>
      </c>
      <c r="C40" s="28" t="n">
        <v>18</v>
      </c>
      <c r="D40" s="27" t="s">
        <v>189</v>
      </c>
      <c r="E40" s="27"/>
      <c r="F40" s="27"/>
      <c r="G40" s="27"/>
      <c r="H40" s="27"/>
      <c r="I40" s="27"/>
      <c r="J40" s="27"/>
      <c r="K40" s="27"/>
    </row>
    <row r="41" customFormat="false" ht="15" hidden="false" customHeight="false" outlineLevel="0" collapsed="false">
      <c r="B41" s="8" t="s">
        <v>190</v>
      </c>
      <c r="C41" s="29" t="n">
        <v>0.07</v>
      </c>
      <c r="D41" s="27" t="s">
        <v>191</v>
      </c>
      <c r="E41" s="27"/>
      <c r="F41" s="27"/>
      <c r="G41" s="27"/>
      <c r="H41" s="27"/>
      <c r="I41" s="27"/>
      <c r="J41" s="27"/>
      <c r="K41" s="27"/>
    </row>
    <row r="42" customFormat="false" ht="15" hidden="false" customHeight="false" outlineLevel="0" collapsed="false">
      <c r="B42" s="8" t="s">
        <v>192</v>
      </c>
      <c r="C42" s="29" t="n">
        <v>0.1</v>
      </c>
      <c r="D42" s="27" t="s">
        <v>193</v>
      </c>
      <c r="E42" s="27"/>
      <c r="F42" s="27"/>
      <c r="G42" s="27"/>
      <c r="H42" s="27"/>
      <c r="I42" s="27"/>
      <c r="J42" s="27"/>
      <c r="K42" s="27"/>
    </row>
    <row r="43" customFormat="false" ht="15" hidden="false" customHeight="false" outlineLevel="0" collapsed="false">
      <c r="B43" s="8" t="s">
        <v>194</v>
      </c>
      <c r="C43" s="25" t="n">
        <v>0.07</v>
      </c>
      <c r="D43" s="27" t="s">
        <v>195</v>
      </c>
      <c r="E43" s="27"/>
      <c r="F43" s="27"/>
      <c r="G43" s="27"/>
      <c r="H43" s="27"/>
      <c r="I43" s="27"/>
      <c r="J43" s="27"/>
      <c r="K43" s="27"/>
    </row>
    <row r="44" customFormat="false" ht="15" hidden="false" customHeight="false" outlineLevel="0" collapsed="false">
      <c r="B44" s="8" t="s">
        <v>196</v>
      </c>
      <c r="C44" s="25" t="n">
        <v>0.07</v>
      </c>
      <c r="D44" s="27" t="s">
        <v>197</v>
      </c>
      <c r="E44" s="27"/>
      <c r="F44" s="27"/>
      <c r="G44" s="27"/>
      <c r="H44" s="27"/>
      <c r="I44" s="27"/>
      <c r="J44" s="27"/>
      <c r="K44" s="27"/>
    </row>
    <row r="45" customFormat="false" ht="15" hidden="false" customHeight="false" outlineLevel="0" collapsed="false">
      <c r="B45" s="8" t="s">
        <v>198</v>
      </c>
      <c r="C45" s="30" t="n">
        <v>1.3</v>
      </c>
      <c r="D45" s="27" t="s">
        <v>197</v>
      </c>
      <c r="E45" s="27"/>
      <c r="F45" s="27"/>
      <c r="G45" s="27"/>
      <c r="H45" s="27"/>
      <c r="I45" s="27"/>
      <c r="J45" s="27"/>
      <c r="K45" s="27"/>
    </row>
    <row r="46" customFormat="false" ht="15" hidden="false" customHeight="false" outlineLevel="0" collapsed="false">
      <c r="B46" s="8" t="s">
        <v>199</v>
      </c>
      <c r="C46" s="29" t="n">
        <v>0.5</v>
      </c>
      <c r="D46" s="27" t="s">
        <v>200</v>
      </c>
      <c r="E46" s="27"/>
      <c r="F46" s="27"/>
      <c r="G46" s="27"/>
      <c r="H46" s="27"/>
      <c r="I46" s="27"/>
      <c r="J46" s="27"/>
      <c r="K46" s="27"/>
    </row>
    <row r="47" customFormat="false" ht="15" hidden="false" customHeight="false" outlineLevel="0" collapsed="false">
      <c r="B47" s="8" t="s">
        <v>201</v>
      </c>
      <c r="C47" s="29" t="n">
        <v>0.4</v>
      </c>
      <c r="D47" s="27" t="s">
        <v>202</v>
      </c>
      <c r="E47" s="27"/>
      <c r="F47" s="27"/>
      <c r="G47" s="27"/>
      <c r="H47" s="27"/>
      <c r="I47" s="27"/>
      <c r="J47" s="27"/>
      <c r="K47" s="27"/>
    </row>
    <row r="48" customFormat="false" ht="15" hidden="false" customHeight="false" outlineLevel="0" collapsed="false">
      <c r="B48" s="8" t="s">
        <v>203</v>
      </c>
      <c r="C48" s="29" t="n">
        <v>0.3</v>
      </c>
      <c r="D48" s="27" t="s">
        <v>202</v>
      </c>
      <c r="E48" s="27"/>
      <c r="F48" s="27"/>
      <c r="G48" s="27"/>
      <c r="H48" s="27"/>
      <c r="I48" s="27"/>
      <c r="J48" s="27"/>
      <c r="K48" s="27"/>
    </row>
    <row r="49" customFormat="false" ht="15" hidden="false" customHeight="false" outlineLevel="0" collapsed="false">
      <c r="B49" s="8" t="s">
        <v>204</v>
      </c>
      <c r="C49" s="31" t="n">
        <v>15</v>
      </c>
      <c r="D49" s="27" t="s">
        <v>205</v>
      </c>
      <c r="E49" s="27"/>
      <c r="F49" s="27"/>
      <c r="G49" s="27"/>
      <c r="H49" s="27"/>
      <c r="I49" s="27"/>
      <c r="J49" s="27"/>
      <c r="K49" s="27"/>
    </row>
    <row r="50" customFormat="false" ht="15" hidden="false" customHeight="false" outlineLevel="0" collapsed="false">
      <c r="B50" s="8" t="s">
        <v>206</v>
      </c>
      <c r="C50" s="29" t="n">
        <v>0.06</v>
      </c>
      <c r="D50" s="27" t="s">
        <v>207</v>
      </c>
      <c r="E50" s="27"/>
      <c r="F50" s="27"/>
      <c r="G50" s="27"/>
      <c r="H50" s="27"/>
      <c r="I50" s="27"/>
      <c r="J50" s="27"/>
      <c r="K50" s="27"/>
    </row>
    <row r="51" customFormat="false" ht="15" hidden="false" customHeight="false" outlineLevel="0" collapsed="false">
      <c r="B51" s="8" t="s">
        <v>208</v>
      </c>
      <c r="C51" s="29" t="n">
        <v>0.14</v>
      </c>
      <c r="D51" s="27" t="s">
        <v>209</v>
      </c>
      <c r="E51" s="27"/>
      <c r="F51" s="27"/>
      <c r="G51" s="27"/>
      <c r="H51" s="27"/>
      <c r="I51" s="27"/>
      <c r="J51" s="27"/>
      <c r="K51" s="27"/>
    </row>
    <row r="52" customFormat="false" ht="15" hidden="false" customHeight="false" outlineLevel="0" collapsed="false">
      <c r="B52" s="8" t="s">
        <v>210</v>
      </c>
      <c r="C52" s="29" t="n">
        <v>0.25</v>
      </c>
      <c r="D52" s="27" t="s">
        <v>211</v>
      </c>
      <c r="E52" s="27"/>
      <c r="F52" s="27"/>
      <c r="G52" s="27"/>
      <c r="H52" s="27"/>
      <c r="I52" s="27"/>
      <c r="J52" s="27"/>
      <c r="K52" s="27"/>
    </row>
  </sheetData>
  <mergeCells count="18">
    <mergeCell ref="D35:K35"/>
    <mergeCell ref="D36:K36"/>
    <mergeCell ref="D37:K37"/>
    <mergeCell ref="D38:K38"/>
    <mergeCell ref="D39:K39"/>
    <mergeCell ref="D40:K40"/>
    <mergeCell ref="D41:K41"/>
    <mergeCell ref="D42:K42"/>
    <mergeCell ref="D43:K43"/>
    <mergeCell ref="D44:K44"/>
    <mergeCell ref="D45:K45"/>
    <mergeCell ref="D46:K46"/>
    <mergeCell ref="D47:K47"/>
    <mergeCell ref="D48:K48"/>
    <mergeCell ref="D49:K49"/>
    <mergeCell ref="D50:K50"/>
    <mergeCell ref="D51:K51"/>
    <mergeCell ref="D52:K5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96784"/>
    <pageSetUpPr fitToPage="true"/>
  </sheetPr>
  <dimension ref="B1:K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10" min="3" style="0" width="11"/>
    <col collapsed="false" customWidth="true" hidden="false" outlineLevel="0" max="11" min="11" style="0" width="60"/>
  </cols>
  <sheetData>
    <row r="1" customFormat="false" ht="19.7" hidden="false" customHeight="false" outlineLevel="0" collapsed="false">
      <c r="B1" s="12" t="s">
        <v>212</v>
      </c>
    </row>
    <row r="2" customFormat="false" ht="15" hidden="false" customHeight="false" outlineLevel="0" collapsed="false">
      <c r="B2" s="2" t="s">
        <v>213</v>
      </c>
    </row>
    <row r="4" customFormat="false" ht="15" hidden="false" customHeight="false" outlineLevel="0" collapsed="false">
      <c r="B4" s="22" t="s">
        <v>134</v>
      </c>
      <c r="C4" s="16" t="s">
        <v>51</v>
      </c>
      <c r="D4" s="16" t="s">
        <v>79</v>
      </c>
      <c r="E4" s="16" t="s">
        <v>90</v>
      </c>
      <c r="F4" s="16" t="s">
        <v>101</v>
      </c>
      <c r="G4" s="16" t="s">
        <v>112</v>
      </c>
      <c r="H4" s="16" t="s">
        <v>123</v>
      </c>
      <c r="I4" s="16" t="s">
        <v>124</v>
      </c>
      <c r="J4" s="16" t="s">
        <v>125</v>
      </c>
      <c r="K4" s="22" t="s">
        <v>135</v>
      </c>
    </row>
    <row r="5" customFormat="false" ht="15" hidden="false" customHeight="false" outlineLevel="0" collapsed="false">
      <c r="B5" s="13" t="s">
        <v>214</v>
      </c>
      <c r="C5" s="14"/>
      <c r="D5" s="14"/>
      <c r="E5" s="14"/>
      <c r="F5" s="14"/>
      <c r="G5" s="14"/>
      <c r="H5" s="14"/>
      <c r="I5" s="14"/>
      <c r="J5" s="14"/>
      <c r="K5" s="14"/>
    </row>
    <row r="6" customFormat="false" ht="15" hidden="false" customHeight="false" outlineLevel="0" collapsed="false">
      <c r="B6" s="7" t="s">
        <v>52</v>
      </c>
      <c r="C6" s="32" t="n">
        <f aca="false">Inputs!C6</f>
        <v>60</v>
      </c>
      <c r="D6" s="32" t="n">
        <f aca="false">Inputs!D6</f>
        <v>180</v>
      </c>
      <c r="E6" s="32" t="n">
        <f aca="false">Inputs!E6</f>
        <v>420</v>
      </c>
      <c r="F6" s="32" t="n">
        <f aca="false">Inputs!F6</f>
        <v>800</v>
      </c>
      <c r="G6" s="32" t="n">
        <f aca="false">Inputs!G6</f>
        <v>1500</v>
      </c>
      <c r="H6" s="32" t="n">
        <f aca="false">Inputs!H6</f>
        <v>2600</v>
      </c>
      <c r="I6" s="32" t="n">
        <f aca="false">Inputs!I6</f>
        <v>3800</v>
      </c>
      <c r="J6" s="32" t="n">
        <f aca="false">Inputs!J6</f>
        <v>5000</v>
      </c>
    </row>
    <row r="7" customFormat="false" ht="15" hidden="false" customHeight="false" outlineLevel="0" collapsed="false">
      <c r="B7" s="8" t="s">
        <v>53</v>
      </c>
      <c r="C7" s="25"/>
      <c r="D7" s="33" t="n">
        <f aca="false">IF(C6=0,0,D6/C6-1)</f>
        <v>2</v>
      </c>
      <c r="E7" s="33" t="n">
        <f aca="false">IF(D6=0,0,E6/D6-1)</f>
        <v>1.33333333333333</v>
      </c>
      <c r="F7" s="33" t="n">
        <f aca="false">IF(E6=0,0,F6/E6-1)</f>
        <v>0.904761904761905</v>
      </c>
      <c r="G7" s="33" t="n">
        <f aca="false">IF(F6=0,0,G6/F6-1)</f>
        <v>0.875</v>
      </c>
      <c r="H7" s="33" t="n">
        <f aca="false">IF(G6=0,0,H6/G6-1)</f>
        <v>0.733333333333333</v>
      </c>
      <c r="I7" s="33" t="n">
        <f aca="false">IF(H6=0,0,I6/H6-1)</f>
        <v>0.461538461538461</v>
      </c>
      <c r="J7" s="33" t="n">
        <f aca="false">IF(I6=0,0,J6/I6-1)</f>
        <v>0.315789473684211</v>
      </c>
    </row>
    <row r="8" customFormat="false" ht="15" hidden="false" customHeight="false" outlineLevel="0" collapsed="false">
      <c r="B8" s="8" t="s">
        <v>215</v>
      </c>
      <c r="C8" s="17" t="n">
        <f aca="false">C6*(1-Inputs!C7)</f>
        <v>46.8</v>
      </c>
      <c r="D8" s="17" t="n">
        <f aca="false">D6*(1-Inputs!D7)</f>
        <v>136.8</v>
      </c>
      <c r="E8" s="17" t="n">
        <f aca="false">E6*(1-Inputs!E7)</f>
        <v>306.6</v>
      </c>
      <c r="F8" s="17" t="n">
        <f aca="false">F6*(1-Inputs!F7)</f>
        <v>576</v>
      </c>
      <c r="G8" s="17" t="n">
        <f aca="false">G6*(1-Inputs!G7)</f>
        <v>1065</v>
      </c>
      <c r="H8" s="17" t="n">
        <f aca="false">H6*(1-Inputs!H7)</f>
        <v>1820</v>
      </c>
      <c r="I8" s="17" t="n">
        <f aca="false">I6*(1-Inputs!I7)</f>
        <v>2660</v>
      </c>
      <c r="J8" s="17" t="n">
        <f aca="false">J6*(1-Inputs!J7)</f>
        <v>3500</v>
      </c>
    </row>
    <row r="9" customFormat="false" ht="15" hidden="false" customHeight="false" outlineLevel="0" collapsed="false">
      <c r="B9" s="7" t="s">
        <v>216</v>
      </c>
      <c r="C9" s="34" t="n">
        <f aca="false">C6-C8</f>
        <v>13.2</v>
      </c>
      <c r="D9" s="34" t="n">
        <f aca="false">D6-D8</f>
        <v>43.2</v>
      </c>
      <c r="E9" s="34" t="n">
        <f aca="false">E6-E8</f>
        <v>113.4</v>
      </c>
      <c r="F9" s="34" t="n">
        <f aca="false">F6-F8</f>
        <v>224</v>
      </c>
      <c r="G9" s="34" t="n">
        <f aca="false">G6-G8</f>
        <v>435</v>
      </c>
      <c r="H9" s="34" t="n">
        <f aca="false">H6-H8</f>
        <v>780</v>
      </c>
      <c r="I9" s="34" t="n">
        <f aca="false">I6-I8</f>
        <v>1140</v>
      </c>
      <c r="J9" s="34" t="n">
        <f aca="false">J6-J8</f>
        <v>1500</v>
      </c>
    </row>
    <row r="10" customFormat="false" ht="15" hidden="false" customHeight="false" outlineLevel="0" collapsed="false">
      <c r="B10" s="8" t="s">
        <v>217</v>
      </c>
      <c r="C10" s="17" t="n">
        <f aca="false">C6*Inputs!C8</f>
        <v>15.6</v>
      </c>
      <c r="D10" s="17" t="n">
        <f aca="false">D6*Inputs!D8</f>
        <v>32.4</v>
      </c>
      <c r="E10" s="17" t="n">
        <f aca="false">E6*Inputs!E8</f>
        <v>58.8</v>
      </c>
      <c r="F10" s="17" t="n">
        <f aca="false">F6*Inputs!F8</f>
        <v>104</v>
      </c>
      <c r="G10" s="17" t="n">
        <f aca="false">G6*Inputs!G8</f>
        <v>180</v>
      </c>
      <c r="H10" s="17" t="n">
        <f aca="false">H6*Inputs!H8</f>
        <v>286</v>
      </c>
      <c r="I10" s="17" t="n">
        <f aca="false">I6*Inputs!I8</f>
        <v>399</v>
      </c>
      <c r="J10" s="17" t="n">
        <f aca="false">J6*Inputs!J8</f>
        <v>500</v>
      </c>
    </row>
    <row r="11" customFormat="false" ht="15" hidden="false" customHeight="false" outlineLevel="0" collapsed="false">
      <c r="B11" s="8" t="s">
        <v>218</v>
      </c>
      <c r="C11" s="17" t="n">
        <f aca="false">C6*Inputs!C9</f>
        <v>1.2</v>
      </c>
      <c r="D11" s="17" t="n">
        <f aca="false">D6*Inputs!D9</f>
        <v>3.6</v>
      </c>
      <c r="E11" s="17" t="n">
        <f aca="false">E6*Inputs!E9</f>
        <v>25.2</v>
      </c>
      <c r="F11" s="17" t="n">
        <f aca="false">F6*Inputs!F9</f>
        <v>40</v>
      </c>
      <c r="G11" s="17" t="n">
        <f aca="false">G6*Inputs!G9</f>
        <v>75</v>
      </c>
      <c r="H11" s="17" t="n">
        <f aca="false">H6*Inputs!H9</f>
        <v>104</v>
      </c>
      <c r="I11" s="17" t="n">
        <f aca="false">I6*Inputs!I9</f>
        <v>133</v>
      </c>
      <c r="J11" s="17" t="n">
        <f aca="false">J6*Inputs!J9</f>
        <v>150</v>
      </c>
    </row>
    <row r="12" customFormat="false" ht="15" hidden="false" customHeight="false" outlineLevel="0" collapsed="false">
      <c r="B12" s="7" t="s">
        <v>54</v>
      </c>
      <c r="C12" s="34" t="n">
        <f aca="false">C9-C10-C11</f>
        <v>-3.60000000000001</v>
      </c>
      <c r="D12" s="34" t="n">
        <f aca="false">D9-D10-D11</f>
        <v>7.19999999999999</v>
      </c>
      <c r="E12" s="34" t="n">
        <f aca="false">E9-E10-E11</f>
        <v>29.4</v>
      </c>
      <c r="F12" s="34" t="n">
        <f aca="false">F9-F10-F11</f>
        <v>80</v>
      </c>
      <c r="G12" s="34" t="n">
        <f aca="false">G9-G10-G11</f>
        <v>180</v>
      </c>
      <c r="H12" s="34" t="n">
        <f aca="false">H9-H10-H11</f>
        <v>390</v>
      </c>
      <c r="I12" s="34" t="n">
        <f aca="false">I9-I10-I11</f>
        <v>608</v>
      </c>
      <c r="J12" s="34" t="n">
        <f aca="false">J9-J10-J11</f>
        <v>850</v>
      </c>
    </row>
    <row r="13" customFormat="false" ht="15" hidden="false" customHeight="false" outlineLevel="0" collapsed="false">
      <c r="B13" s="8" t="s">
        <v>219</v>
      </c>
      <c r="C13" s="17" t="n">
        <f aca="false">Inputs!C10</f>
        <v>8</v>
      </c>
      <c r="D13" s="17" t="n">
        <f aca="false">C13+Inputs!D10</f>
        <v>33</v>
      </c>
      <c r="E13" s="17" t="n">
        <f aca="false">D13+Inputs!E10</f>
        <v>73</v>
      </c>
      <c r="F13" s="17" t="n">
        <f aca="false">E13+Inputs!F10</f>
        <v>193</v>
      </c>
      <c r="G13" s="17" t="n">
        <f aca="false">F13+Inputs!G10</f>
        <v>593</v>
      </c>
      <c r="H13" s="17" t="n">
        <f aca="false">G13+Inputs!H10</f>
        <v>943</v>
      </c>
      <c r="I13" s="17" t="n">
        <f aca="false">H13+Inputs!I10</f>
        <v>1193</v>
      </c>
      <c r="J13" s="17" t="n">
        <f aca="false">I13+Inputs!J10</f>
        <v>1443</v>
      </c>
    </row>
    <row r="14" customFormat="false" ht="15" hidden="false" customHeight="false" outlineLevel="0" collapsed="false">
      <c r="B14" s="8" t="s">
        <v>220</v>
      </c>
      <c r="C14" s="17" t="n">
        <f aca="false">C13*Inputs!$C$36</f>
        <v>0.8</v>
      </c>
      <c r="D14" s="17" t="n">
        <f aca="false">D13*Inputs!$C$36</f>
        <v>3.3</v>
      </c>
      <c r="E14" s="17" t="n">
        <f aca="false">E13*Inputs!$C$36</f>
        <v>7.3</v>
      </c>
      <c r="F14" s="17" t="n">
        <f aca="false">F13*Inputs!$C$36</f>
        <v>19.3</v>
      </c>
      <c r="G14" s="17" t="n">
        <f aca="false">G13*Inputs!$C$36</f>
        <v>59.3</v>
      </c>
      <c r="H14" s="17" t="n">
        <f aca="false">H13*Inputs!$C$36</f>
        <v>94.3</v>
      </c>
      <c r="I14" s="17" t="n">
        <f aca="false">I13*Inputs!$C$36</f>
        <v>119.3</v>
      </c>
      <c r="J14" s="17" t="n">
        <f aca="false">J13*Inputs!$C$36</f>
        <v>144.3</v>
      </c>
    </row>
    <row r="15" customFormat="false" ht="15" hidden="false" customHeight="false" outlineLevel="0" collapsed="false">
      <c r="B15" s="7" t="s">
        <v>221</v>
      </c>
      <c r="C15" s="34" t="n">
        <f aca="false">C12-C14</f>
        <v>-4.40000000000001</v>
      </c>
      <c r="D15" s="34" t="n">
        <f aca="false">D12-D14</f>
        <v>3.89999999999999</v>
      </c>
      <c r="E15" s="34" t="n">
        <f aca="false">E12-E14</f>
        <v>22.1</v>
      </c>
      <c r="F15" s="34" t="n">
        <f aca="false">F12-F14</f>
        <v>60.7</v>
      </c>
      <c r="G15" s="34" t="n">
        <f aca="false">G12-G14</f>
        <v>120.7</v>
      </c>
      <c r="H15" s="34" t="n">
        <f aca="false">H12-H14</f>
        <v>295.7</v>
      </c>
      <c r="I15" s="34" t="n">
        <f aca="false">I12-I14</f>
        <v>488.7</v>
      </c>
      <c r="J15" s="34" t="n">
        <f aca="false">J12-J14</f>
        <v>705.7</v>
      </c>
    </row>
    <row r="16" customFormat="false" ht="15" hidden="false" customHeight="false" outlineLevel="0" collapsed="false">
      <c r="B16" s="8" t="s">
        <v>222</v>
      </c>
      <c r="C16" s="17" t="n">
        <f aca="false">Inputs!C22-Inputs!C23</f>
        <v>0</v>
      </c>
      <c r="D16" s="17" t="n">
        <f aca="false">C16+Inputs!D22-Inputs!D23</f>
        <v>30</v>
      </c>
      <c r="E16" s="17" t="n">
        <f aca="false">D16+Inputs!E22-Inputs!E23</f>
        <v>69</v>
      </c>
      <c r="F16" s="17" t="n">
        <f aca="false">E16+Inputs!F22-Inputs!F23</f>
        <v>117</v>
      </c>
      <c r="G16" s="17" t="n">
        <f aca="false">F16+Inputs!G22-Inputs!G23</f>
        <v>97</v>
      </c>
      <c r="H16" s="17" t="n">
        <f aca="false">G16+Inputs!H22-Inputs!H23</f>
        <v>72</v>
      </c>
      <c r="I16" s="17" t="n">
        <f aca="false">H16+Inputs!I22-Inputs!I23</f>
        <v>37</v>
      </c>
      <c r="J16" s="17" t="n">
        <f aca="false">I16+Inputs!J22-Inputs!J23</f>
        <v>0</v>
      </c>
    </row>
    <row r="17" customFormat="false" ht="15" hidden="false" customHeight="false" outlineLevel="0" collapsed="false">
      <c r="B17" s="8" t="s">
        <v>223</v>
      </c>
      <c r="C17" s="17" t="n">
        <f aca="false">Inputs!C24</f>
        <v>0</v>
      </c>
      <c r="D17" s="17" t="n">
        <f aca="false">Inputs!D24</f>
        <v>40</v>
      </c>
      <c r="E17" s="17" t="n">
        <f aca="false">Inputs!E24</f>
        <v>110</v>
      </c>
      <c r="F17" s="17" t="n">
        <f aca="false">Inputs!F24</f>
        <v>160</v>
      </c>
      <c r="G17" s="17" t="n">
        <f aca="false">Inputs!G24</f>
        <v>220</v>
      </c>
      <c r="H17" s="17" t="n">
        <f aca="false">Inputs!H24</f>
        <v>280</v>
      </c>
      <c r="I17" s="17" t="n">
        <f aca="false">Inputs!I24</f>
        <v>300</v>
      </c>
      <c r="J17" s="17" t="n">
        <f aca="false">Inputs!J24</f>
        <v>300</v>
      </c>
    </row>
    <row r="18" customFormat="false" ht="15" hidden="false" customHeight="false" outlineLevel="0" collapsed="false">
      <c r="B18" s="8" t="s">
        <v>224</v>
      </c>
      <c r="C18" s="17" t="n">
        <f aca="false">Inputs!$C$37*C16/2+Inputs!$C$38*C17/2</f>
        <v>0</v>
      </c>
      <c r="D18" s="17" t="n">
        <f aca="false">Inputs!$C$37*(C16+D16)/2+Inputs!$C$38*(C17+D17)/2</f>
        <v>3.775</v>
      </c>
      <c r="E18" s="17" t="n">
        <f aca="false">Inputs!$C$37*(D16+E16)/2+Inputs!$C$38*(D17+E17)/2</f>
        <v>13.4475</v>
      </c>
      <c r="F18" s="17" t="n">
        <f aca="false">Inputs!$C$37*(E16+F16)/2+Inputs!$C$38*(E17+F17)/2</f>
        <v>24.615</v>
      </c>
      <c r="G18" s="17" t="n">
        <f aca="false">Inputs!$C$37*(F16+G16)/2+Inputs!$C$38*(F17+G17)/2</f>
        <v>32.135</v>
      </c>
      <c r="H18" s="17" t="n">
        <f aca="false">Inputs!$C$37*(G16+H16)/2+Inputs!$C$38*(G17+H17)/2</f>
        <v>36.3725</v>
      </c>
      <c r="I18" s="17" t="n">
        <f aca="false">Inputs!$C$37*(H16+I16)/2+Inputs!$C$38*(H17+I17)/2</f>
        <v>37.6225</v>
      </c>
      <c r="J18" s="17" t="n">
        <f aca="false">Inputs!$C$37*(I16+J16)/2+Inputs!$C$38*(I17+J17)/2</f>
        <v>34.9425</v>
      </c>
    </row>
    <row r="19" customFormat="false" ht="15" hidden="false" customHeight="false" outlineLevel="0" collapsed="false">
      <c r="B19" s="8" t="s">
        <v>225</v>
      </c>
      <c r="C19" s="35" t="n">
        <f aca="false">C15-C18</f>
        <v>-4.40000000000001</v>
      </c>
      <c r="D19" s="35" t="n">
        <f aca="false">D15-D18</f>
        <v>0.12499999999999</v>
      </c>
      <c r="E19" s="35" t="n">
        <f aca="false">E15-E18</f>
        <v>8.65250000000003</v>
      </c>
      <c r="F19" s="35" t="n">
        <f aca="false">F15-F18</f>
        <v>36.085</v>
      </c>
      <c r="G19" s="35" t="n">
        <f aca="false">G15-G18</f>
        <v>88.565</v>
      </c>
      <c r="H19" s="35" t="n">
        <f aca="false">H15-H18</f>
        <v>259.3275</v>
      </c>
      <c r="I19" s="35" t="n">
        <f aca="false">I15-I18</f>
        <v>451.0775</v>
      </c>
      <c r="J19" s="35" t="n">
        <f aca="false">J15-J18</f>
        <v>670.7575</v>
      </c>
    </row>
    <row r="20" customFormat="false" ht="15" hidden="false" customHeight="false" outlineLevel="0" collapsed="false">
      <c r="B20" s="8" t="s">
        <v>226</v>
      </c>
      <c r="C20" s="17" t="n">
        <f aca="false">MAX(0,C19)*Inputs!$C$35</f>
        <v>0</v>
      </c>
      <c r="D20" s="17" t="n">
        <f aca="false">MAX(0,D19)*Inputs!$C$35</f>
        <v>0.0312499999999974</v>
      </c>
      <c r="E20" s="17" t="n">
        <f aca="false">MAX(0,E19)*Inputs!$C$35</f>
        <v>2.16312500000001</v>
      </c>
      <c r="F20" s="17" t="n">
        <f aca="false">MAX(0,F19)*Inputs!$C$35</f>
        <v>9.02125</v>
      </c>
      <c r="G20" s="17" t="n">
        <f aca="false">MAX(0,G19)*Inputs!$C$35</f>
        <v>22.14125</v>
      </c>
      <c r="H20" s="17" t="n">
        <f aca="false">MAX(0,H19)*Inputs!$C$35</f>
        <v>64.8318750000001</v>
      </c>
      <c r="I20" s="17" t="n">
        <f aca="false">MAX(0,I19)*Inputs!$C$35</f>
        <v>112.769375</v>
      </c>
      <c r="J20" s="17" t="n">
        <f aca="false">MAX(0,J19)*Inputs!$C$35</f>
        <v>167.689375</v>
      </c>
    </row>
    <row r="21" customFormat="false" ht="15" hidden="false" customHeight="false" outlineLevel="0" collapsed="false">
      <c r="B21" s="7" t="s">
        <v>55</v>
      </c>
      <c r="C21" s="36" t="n">
        <f aca="false">C19-C20</f>
        <v>-4.40000000000001</v>
      </c>
      <c r="D21" s="36" t="n">
        <f aca="false">D19-D20</f>
        <v>0.0937499999999923</v>
      </c>
      <c r="E21" s="36" t="n">
        <f aca="false">E19-E20</f>
        <v>6.48937500000002</v>
      </c>
      <c r="F21" s="36" t="n">
        <f aca="false">F19-F20</f>
        <v>27.06375</v>
      </c>
      <c r="G21" s="36" t="n">
        <f aca="false">G19-G20</f>
        <v>66.42375</v>
      </c>
      <c r="H21" s="36" t="n">
        <f aca="false">H19-H20</f>
        <v>194.495625</v>
      </c>
      <c r="I21" s="36" t="n">
        <f aca="false">I19-I20</f>
        <v>338.308125</v>
      </c>
      <c r="J21" s="36" t="n">
        <f aca="false">J19-J20</f>
        <v>503.068125</v>
      </c>
    </row>
    <row r="22" customFormat="false" ht="15" hidden="false" customHeight="false" outlineLevel="0" collapsed="false">
      <c r="B22" s="8" t="s">
        <v>227</v>
      </c>
      <c r="C22" s="33" t="n">
        <f aca="false">IF(C6=0,0,C21/C6)</f>
        <v>-0.0733333333333334</v>
      </c>
      <c r="D22" s="33" t="n">
        <f aca="false">IF(D6=0,0,D21/D6)</f>
        <v>0.000520833333333291</v>
      </c>
      <c r="E22" s="33" t="n">
        <f aca="false">IF(E6=0,0,E21/E6)</f>
        <v>0.0154508928571429</v>
      </c>
      <c r="F22" s="33" t="n">
        <f aca="false">IF(F6=0,0,F21/F6)</f>
        <v>0.0338296875</v>
      </c>
      <c r="G22" s="33" t="n">
        <f aca="false">IF(G6=0,0,G21/G6)</f>
        <v>0.0442825</v>
      </c>
      <c r="H22" s="33" t="n">
        <f aca="false">IF(H6=0,0,H21/H6)</f>
        <v>0.0748060096153847</v>
      </c>
      <c r="I22" s="33" t="n">
        <f aca="false">IF(I6=0,0,I21/I6)</f>
        <v>0.0890284539473684</v>
      </c>
      <c r="J22" s="33" t="n">
        <f aca="false">IF(J6=0,0,J21/J6)</f>
        <v>0.100613625</v>
      </c>
    </row>
    <row r="24" customFormat="false" ht="15" hidden="false" customHeight="false" outlineLevel="0" collapsed="false">
      <c r="B24" s="13" t="s">
        <v>228</v>
      </c>
      <c r="C24" s="14"/>
      <c r="D24" s="14"/>
      <c r="E24" s="14"/>
      <c r="F24" s="14"/>
      <c r="G24" s="14"/>
      <c r="H24" s="14"/>
      <c r="I24" s="14"/>
      <c r="J24" s="14"/>
      <c r="K24" s="14"/>
    </row>
    <row r="25" customFormat="false" ht="15" hidden="false" customHeight="false" outlineLevel="0" collapsed="false">
      <c r="B25" s="8" t="s">
        <v>229</v>
      </c>
      <c r="C25" s="35" t="n">
        <f aca="false">C21</f>
        <v>-4.40000000000001</v>
      </c>
      <c r="D25" s="35" t="n">
        <f aca="false">D21</f>
        <v>0.0937499999999923</v>
      </c>
      <c r="E25" s="35" t="n">
        <f aca="false">E21</f>
        <v>6.48937500000002</v>
      </c>
      <c r="F25" s="35" t="n">
        <f aca="false">F21</f>
        <v>27.06375</v>
      </c>
      <c r="G25" s="35" t="n">
        <f aca="false">G21</f>
        <v>66.42375</v>
      </c>
      <c r="H25" s="35" t="n">
        <f aca="false">H21</f>
        <v>194.495625</v>
      </c>
      <c r="I25" s="35" t="n">
        <f aca="false">I21</f>
        <v>338.308125</v>
      </c>
      <c r="J25" s="35" t="n">
        <f aca="false">J21</f>
        <v>503.068125</v>
      </c>
    </row>
    <row r="26" customFormat="false" ht="15" hidden="false" customHeight="false" outlineLevel="0" collapsed="false">
      <c r="B26" s="8" t="s">
        <v>230</v>
      </c>
      <c r="C26" s="35" t="n">
        <f aca="false">C14</f>
        <v>0.8</v>
      </c>
      <c r="D26" s="35" t="n">
        <f aca="false">D14</f>
        <v>3.3</v>
      </c>
      <c r="E26" s="35" t="n">
        <f aca="false">E14</f>
        <v>7.3</v>
      </c>
      <c r="F26" s="35" t="n">
        <f aca="false">F14</f>
        <v>19.3</v>
      </c>
      <c r="G26" s="35" t="n">
        <f aca="false">G14</f>
        <v>59.3</v>
      </c>
      <c r="H26" s="35" t="n">
        <f aca="false">H14</f>
        <v>94.3</v>
      </c>
      <c r="I26" s="35" t="n">
        <f aca="false">I14</f>
        <v>119.3</v>
      </c>
      <c r="J26" s="35" t="n">
        <f aca="false">J14</f>
        <v>144.3</v>
      </c>
    </row>
    <row r="27" customFormat="false" ht="15" hidden="false" customHeight="false" outlineLevel="0" collapsed="false">
      <c r="B27" s="8" t="s">
        <v>231</v>
      </c>
      <c r="C27" s="17" t="n">
        <f aca="false">-2_Working_Capital!C25</f>
        <v>-19.1753424657534</v>
      </c>
      <c r="D27" s="17" t="n">
        <f aca="false">-2_Working_Capital!D25</f>
        <v>-45.4520547945206</v>
      </c>
      <c r="E27" s="17" t="n">
        <f aca="false">-2_Working_Capital!E25</f>
        <v>-78.2876712328767</v>
      </c>
      <c r="F27" s="17" t="n">
        <f aca="false">-2_Working_Capital!F25</f>
        <v>-101.687671232877</v>
      </c>
      <c r="G27" s="17" t="n">
        <f aca="false">-2_Working_Capital!G25</f>
        <v>-177.657534246575</v>
      </c>
      <c r="H27" s="17" t="n">
        <f aca="false">-2_Working_Capital!H25</f>
        <v>-170.397260273973</v>
      </c>
      <c r="I27" s="17" t="n">
        <f aca="false">-2_Working_Capital!I25</f>
        <v>-110.602739726027</v>
      </c>
      <c r="J27" s="17" t="n">
        <f aca="false">-2_Working_Capital!J25</f>
        <v>-153.58904109589</v>
      </c>
    </row>
    <row r="28" customFormat="false" ht="15" hidden="false" customHeight="false" outlineLevel="0" collapsed="false">
      <c r="B28" s="7" t="s">
        <v>232</v>
      </c>
      <c r="C28" s="36" t="n">
        <f aca="false">C25+C26+C27</f>
        <v>-22.7753424657534</v>
      </c>
      <c r="D28" s="36" t="n">
        <f aca="false">D25+D26+D27</f>
        <v>-42.0583047945206</v>
      </c>
      <c r="E28" s="36" t="n">
        <f aca="false">E25+E26+E27</f>
        <v>-64.4982962328767</v>
      </c>
      <c r="F28" s="36" t="n">
        <f aca="false">F25+F26+F27</f>
        <v>-55.3239212328767</v>
      </c>
      <c r="G28" s="36" t="n">
        <f aca="false">G25+G26+G27</f>
        <v>-51.9337842465754</v>
      </c>
      <c r="H28" s="36" t="n">
        <f aca="false">H25+H26+H27</f>
        <v>118.398364726028</v>
      </c>
      <c r="I28" s="36" t="n">
        <f aca="false">I25+I26+I27</f>
        <v>347.005385273973</v>
      </c>
      <c r="J28" s="36" t="n">
        <f aca="false">J25+J26+J27</f>
        <v>493.77908390411</v>
      </c>
    </row>
    <row r="29" customFormat="false" ht="15" hidden="false" customHeight="false" outlineLevel="0" collapsed="false">
      <c r="B29" s="7" t="s">
        <v>233</v>
      </c>
      <c r="C29" s="32" t="n">
        <f aca="false">C12-C20-Inputs!C10+C27</f>
        <v>-30.7753424657534</v>
      </c>
      <c r="D29" s="32" t="n">
        <f aca="false">D12-D20-Inputs!D10+D27</f>
        <v>-63.2833047945206</v>
      </c>
      <c r="E29" s="32" t="n">
        <f aca="false">E12-E20-Inputs!E10+E27</f>
        <v>-91.0507962328767</v>
      </c>
      <c r="F29" s="32" t="n">
        <f aca="false">F12-F20-Inputs!F10+F27</f>
        <v>-150.708921232877</v>
      </c>
      <c r="G29" s="32" t="n">
        <f aca="false">G12-G20-Inputs!G10+G27</f>
        <v>-419.798784246575</v>
      </c>
      <c r="H29" s="32" t="n">
        <f aca="false">H12-H20-Inputs!H10+H27</f>
        <v>-195.229135273972</v>
      </c>
      <c r="I29" s="32" t="n">
        <f aca="false">I12-I20-Inputs!I10+I27</f>
        <v>134.627885273973</v>
      </c>
      <c r="J29" s="32" t="n">
        <f aca="false">J12-J20-Inputs!J10+J27</f>
        <v>278.72158390411</v>
      </c>
      <c r="K29" s="24" t="s">
        <v>234</v>
      </c>
    </row>
    <row r="30" customFormat="false" ht="15" hidden="false" customHeight="false" outlineLevel="0" collapsed="false">
      <c r="B30" s="7" t="s">
        <v>235</v>
      </c>
      <c r="C30" s="36" t="n">
        <f aca="false">MAX(0,-C29)</f>
        <v>30.7753424657534</v>
      </c>
      <c r="D30" s="36" t="n">
        <f aca="false">MAX(0,-D29)</f>
        <v>63.2833047945206</v>
      </c>
      <c r="E30" s="36" t="n">
        <f aca="false">MAX(0,-E29)</f>
        <v>91.0507962328767</v>
      </c>
      <c r="F30" s="36" t="n">
        <f aca="false">MAX(0,-F29)</f>
        <v>150.708921232877</v>
      </c>
      <c r="G30" s="36" t="n">
        <f aca="false">MAX(0,-G29)</f>
        <v>419.798784246575</v>
      </c>
      <c r="H30" s="36" t="n">
        <f aca="false">MAX(0,-H29)</f>
        <v>195.229135273972</v>
      </c>
      <c r="I30" s="36" t="n">
        <f aca="false">MAX(0,-I29)</f>
        <v>0</v>
      </c>
      <c r="J30" s="36" t="n">
        <f aca="false">MAX(0,-J29)</f>
        <v>0</v>
      </c>
    </row>
    <row r="32" customFormat="false" ht="15" hidden="false" customHeight="false" outlineLevel="0" collapsed="false">
      <c r="B32" s="13" t="s">
        <v>236</v>
      </c>
      <c r="C32" s="14"/>
      <c r="D32" s="14"/>
      <c r="E32" s="14"/>
      <c r="F32" s="14"/>
      <c r="G32" s="14"/>
      <c r="H32" s="14"/>
      <c r="I32" s="14"/>
      <c r="J32" s="14"/>
      <c r="K32" s="14"/>
    </row>
    <row r="33" customFormat="false" ht="15" hidden="false" customHeight="false" outlineLevel="0" collapsed="false">
      <c r="B33" s="8" t="s">
        <v>237</v>
      </c>
      <c r="C33" s="17" t="n">
        <f aca="false">Inputs!C20+Inputs!C21</f>
        <v>35</v>
      </c>
      <c r="D33" s="17" t="n">
        <f aca="false">Inputs!D20+Inputs!D21</f>
        <v>0</v>
      </c>
      <c r="E33" s="17" t="n">
        <f aca="false">Inputs!E20+Inputs!E21</f>
        <v>0</v>
      </c>
      <c r="F33" s="17" t="n">
        <f aca="false">Inputs!F20+Inputs!F21</f>
        <v>0</v>
      </c>
      <c r="G33" s="17" t="n">
        <f aca="false">Inputs!G20+Inputs!G21</f>
        <v>0</v>
      </c>
      <c r="H33" s="17" t="n">
        <f aca="false">Inputs!H20+Inputs!H21</f>
        <v>0</v>
      </c>
      <c r="I33" s="17" t="n">
        <f aca="false">Inputs!I20+Inputs!I21</f>
        <v>0</v>
      </c>
      <c r="J33" s="17" t="n">
        <f aca="false">Inputs!J20+Inputs!J21</f>
        <v>0</v>
      </c>
    </row>
    <row r="34" customFormat="false" ht="15" hidden="false" customHeight="false" outlineLevel="0" collapsed="false">
      <c r="B34" s="8" t="s">
        <v>238</v>
      </c>
      <c r="C34" s="17" t="n">
        <f aca="false">Inputs!C22-Inputs!C23</f>
        <v>0</v>
      </c>
      <c r="D34" s="17" t="n">
        <f aca="false">Inputs!D22-Inputs!D23</f>
        <v>30</v>
      </c>
      <c r="E34" s="17" t="n">
        <f aca="false">Inputs!E22-Inputs!E23</f>
        <v>39</v>
      </c>
      <c r="F34" s="17" t="n">
        <f aca="false">Inputs!F22-Inputs!F23</f>
        <v>48</v>
      </c>
      <c r="G34" s="17" t="n">
        <f aca="false">Inputs!G22-Inputs!G23</f>
        <v>-20</v>
      </c>
      <c r="H34" s="17" t="n">
        <f aca="false">Inputs!H22-Inputs!H23</f>
        <v>-25</v>
      </c>
      <c r="I34" s="17" t="n">
        <f aca="false">Inputs!I22-Inputs!I23</f>
        <v>-35</v>
      </c>
      <c r="J34" s="17" t="n">
        <f aca="false">Inputs!J22-Inputs!J23</f>
        <v>-37</v>
      </c>
    </row>
    <row r="35" customFormat="false" ht="15" hidden="false" customHeight="false" outlineLevel="0" collapsed="false">
      <c r="B35" s="8" t="s">
        <v>239</v>
      </c>
      <c r="C35" s="17" t="n">
        <f aca="false">Inputs!C24</f>
        <v>0</v>
      </c>
      <c r="D35" s="17" t="n">
        <f aca="false">Inputs!D24-Inputs!C24</f>
        <v>40</v>
      </c>
      <c r="E35" s="17" t="n">
        <f aca="false">Inputs!E24-Inputs!D24</f>
        <v>70</v>
      </c>
      <c r="F35" s="17" t="n">
        <f aca="false">Inputs!F24-Inputs!E24</f>
        <v>50</v>
      </c>
      <c r="G35" s="17" t="n">
        <f aca="false">Inputs!G24-Inputs!F24</f>
        <v>60</v>
      </c>
      <c r="H35" s="17" t="n">
        <f aca="false">Inputs!H24-Inputs!G24</f>
        <v>60</v>
      </c>
      <c r="I35" s="17" t="n">
        <f aca="false">Inputs!I24-Inputs!H24</f>
        <v>20</v>
      </c>
      <c r="J35" s="17" t="n">
        <f aca="false">Inputs!J24-Inputs!I24</f>
        <v>0</v>
      </c>
    </row>
    <row r="36" customFormat="false" ht="15" hidden="false" customHeight="false" outlineLevel="0" collapsed="false">
      <c r="B36" s="8" t="s">
        <v>165</v>
      </c>
      <c r="C36" s="17" t="n">
        <f aca="false">Inputs!C25</f>
        <v>0</v>
      </c>
      <c r="D36" s="17" t="n">
        <f aca="false">Inputs!D25</f>
        <v>0</v>
      </c>
      <c r="E36" s="17" t="n">
        <f aca="false">Inputs!E25</f>
        <v>0</v>
      </c>
      <c r="F36" s="17" t="n">
        <f aca="false">Inputs!F25</f>
        <v>120</v>
      </c>
      <c r="G36" s="17" t="n">
        <f aca="false">Inputs!G25</f>
        <v>0</v>
      </c>
      <c r="H36" s="17" t="n">
        <f aca="false">Inputs!H25</f>
        <v>0</v>
      </c>
      <c r="I36" s="17" t="n">
        <f aca="false">Inputs!I25</f>
        <v>0</v>
      </c>
      <c r="J36" s="17" t="n">
        <f aca="false">Inputs!J25</f>
        <v>0</v>
      </c>
    </row>
    <row r="37" customFormat="false" ht="15" hidden="false" customHeight="false" outlineLevel="0" collapsed="false">
      <c r="B37" s="8" t="s">
        <v>240</v>
      </c>
      <c r="C37" s="17" t="n">
        <f aca="false">Inputs!C26+Inputs!C27</f>
        <v>0</v>
      </c>
      <c r="D37" s="17" t="n">
        <f aca="false">Inputs!D26+Inputs!D27</f>
        <v>0</v>
      </c>
      <c r="E37" s="17" t="n">
        <f aca="false">Inputs!E26+Inputs!E27</f>
        <v>0</v>
      </c>
      <c r="F37" s="17" t="n">
        <f aca="false">Inputs!F26+Inputs!F27</f>
        <v>0</v>
      </c>
      <c r="G37" s="17" t="n">
        <f aca="false">Inputs!G26+Inputs!G27</f>
        <v>450</v>
      </c>
      <c r="H37" s="17" t="n">
        <f aca="false">Inputs!H26+Inputs!H27</f>
        <v>350</v>
      </c>
      <c r="I37" s="17" t="n">
        <f aca="false">Inputs!I26+Inputs!I27</f>
        <v>0</v>
      </c>
      <c r="J37" s="17" t="n">
        <f aca="false">Inputs!J26+Inputs!J27</f>
        <v>0</v>
      </c>
    </row>
    <row r="38" customFormat="false" ht="15" hidden="false" customHeight="false" outlineLevel="0" collapsed="false">
      <c r="B38" s="8" t="s">
        <v>241</v>
      </c>
      <c r="C38" s="35" t="n">
        <f aca="false">-C18</f>
        <v>-0</v>
      </c>
      <c r="D38" s="35" t="n">
        <f aca="false">-D18</f>
        <v>-3.775</v>
      </c>
      <c r="E38" s="35" t="n">
        <f aca="false">-E18</f>
        <v>-13.4475</v>
      </c>
      <c r="F38" s="35" t="n">
        <f aca="false">-F18</f>
        <v>-24.615</v>
      </c>
      <c r="G38" s="35" t="n">
        <f aca="false">-G18</f>
        <v>-32.135</v>
      </c>
      <c r="H38" s="35" t="n">
        <f aca="false">-H18</f>
        <v>-36.3725</v>
      </c>
      <c r="I38" s="35" t="n">
        <f aca="false">-I18</f>
        <v>-37.6225</v>
      </c>
      <c r="J38" s="35" t="n">
        <f aca="false">-J18</f>
        <v>-34.9425</v>
      </c>
    </row>
    <row r="39" customFormat="false" ht="15" hidden="false" customHeight="false" outlineLevel="0" collapsed="false">
      <c r="B39" s="7" t="s">
        <v>242</v>
      </c>
      <c r="C39" s="34" t="n">
        <f aca="false">SUM(C33:C38)</f>
        <v>35</v>
      </c>
      <c r="D39" s="34" t="n">
        <f aca="false">SUM(D33:D38)</f>
        <v>66.225</v>
      </c>
      <c r="E39" s="34" t="n">
        <f aca="false">SUM(E33:E38)</f>
        <v>95.5525</v>
      </c>
      <c r="F39" s="34" t="n">
        <f aca="false">SUM(F33:F38)</f>
        <v>193.385</v>
      </c>
      <c r="G39" s="34" t="n">
        <f aca="false">SUM(G33:G38)</f>
        <v>457.865</v>
      </c>
      <c r="H39" s="34" t="n">
        <f aca="false">SUM(H33:H38)</f>
        <v>348.6275</v>
      </c>
      <c r="I39" s="34" t="n">
        <f aca="false">SUM(I33:I38)</f>
        <v>-52.6225</v>
      </c>
      <c r="J39" s="34" t="n">
        <f aca="false">SUM(J33:J38)</f>
        <v>-71.9425</v>
      </c>
    </row>
    <row r="40" customFormat="false" ht="15" hidden="false" customHeight="false" outlineLevel="0" collapsed="false">
      <c r="B40" s="8" t="s">
        <v>243</v>
      </c>
      <c r="C40" s="35" t="n">
        <f aca="false">0</f>
        <v>0</v>
      </c>
      <c r="D40" s="35" t="n">
        <f aca="false">C42</f>
        <v>4.22465753424657</v>
      </c>
      <c r="E40" s="35" t="n">
        <f aca="false">D42</f>
        <v>7.16635273972601</v>
      </c>
      <c r="F40" s="35" t="n">
        <f aca="false">E42</f>
        <v>11.6680565068493</v>
      </c>
      <c r="G40" s="35" t="n">
        <f aca="false">F42</f>
        <v>54.3441352739726</v>
      </c>
      <c r="H40" s="35" t="n">
        <f aca="false">G42</f>
        <v>92.4103510273972</v>
      </c>
      <c r="I40" s="35" t="n">
        <f aca="false">H42</f>
        <v>245.808715753425</v>
      </c>
      <c r="J40" s="35" t="n">
        <f aca="false">I42</f>
        <v>327.814101027397</v>
      </c>
    </row>
    <row r="41" customFormat="false" ht="15" hidden="false" customHeight="false" outlineLevel="0" collapsed="false">
      <c r="B41" s="8" t="s">
        <v>244</v>
      </c>
      <c r="C41" s="35" t="n">
        <f aca="false">C29+C39</f>
        <v>4.22465753424657</v>
      </c>
      <c r="D41" s="35" t="n">
        <f aca="false">D29+D39</f>
        <v>2.94169520547943</v>
      </c>
      <c r="E41" s="35" t="n">
        <f aca="false">E29+E39</f>
        <v>4.5017037671233</v>
      </c>
      <c r="F41" s="35" t="n">
        <f aca="false">F29+F39</f>
        <v>42.6760787671233</v>
      </c>
      <c r="G41" s="35" t="n">
        <f aca="false">G29+G39</f>
        <v>38.0662157534246</v>
      </c>
      <c r="H41" s="35" t="n">
        <f aca="false">H29+H39</f>
        <v>153.398364726028</v>
      </c>
      <c r="I41" s="35" t="n">
        <f aca="false">I29+I39</f>
        <v>82.0053852739727</v>
      </c>
      <c r="J41" s="35" t="n">
        <f aca="false">J29+J39</f>
        <v>206.77908390411</v>
      </c>
    </row>
    <row r="42" customFormat="false" ht="15" hidden="false" customHeight="false" outlineLevel="0" collapsed="false">
      <c r="B42" s="7" t="s">
        <v>62</v>
      </c>
      <c r="C42" s="36" t="n">
        <f aca="false">C40+C41</f>
        <v>4.22465753424657</v>
      </c>
      <c r="D42" s="36" t="n">
        <f aca="false">D40+D41</f>
        <v>7.16635273972601</v>
      </c>
      <c r="E42" s="36" t="n">
        <f aca="false">E40+E41</f>
        <v>11.6680565068493</v>
      </c>
      <c r="F42" s="36" t="n">
        <f aca="false">F40+F41</f>
        <v>54.3441352739726</v>
      </c>
      <c r="G42" s="36" t="n">
        <f aca="false">G40+G41</f>
        <v>92.4103510273972</v>
      </c>
      <c r="H42" s="36" t="n">
        <f aca="false">H40+H41</f>
        <v>245.808715753425</v>
      </c>
      <c r="I42" s="36" t="n">
        <f aca="false">I40+I41</f>
        <v>327.814101027397</v>
      </c>
      <c r="J42" s="36" t="n">
        <f aca="false">J40+J41</f>
        <v>534.593184931507</v>
      </c>
    </row>
    <row r="43" customFormat="false" ht="15" hidden="false" customHeight="false" outlineLevel="0" collapsed="false">
      <c r="B43" s="8" t="s">
        <v>245</v>
      </c>
      <c r="C43" s="37" t="str">
        <f aca="false">IF(C42&lt;Inputs!$C$39,"SHORTFALL","OK")</f>
        <v>OK</v>
      </c>
      <c r="D43" s="37" t="str">
        <f aca="false">IF(D42&lt;Inputs!$C$39,"SHORTFALL","OK")</f>
        <v>OK</v>
      </c>
      <c r="E43" s="37" t="str">
        <f aca="false">IF(E42&lt;Inputs!$C$39,"SHORTFALL","OK")</f>
        <v>OK</v>
      </c>
      <c r="F43" s="37" t="str">
        <f aca="false">IF(F42&lt;Inputs!$C$39,"SHORTFALL","OK")</f>
        <v>OK</v>
      </c>
      <c r="G43" s="37" t="str">
        <f aca="false">IF(G42&lt;Inputs!$C$39,"SHORTFALL","OK")</f>
        <v>OK</v>
      </c>
      <c r="H43" s="37" t="str">
        <f aca="false">IF(H42&lt;Inputs!$C$39,"SHORTFALL","OK")</f>
        <v>OK</v>
      </c>
      <c r="I43" s="37" t="str">
        <f aca="false">IF(I42&lt;Inputs!$C$39,"SHORTFALL","OK")</f>
        <v>OK</v>
      </c>
      <c r="J43" s="37" t="str">
        <f aca="false">IF(J42&lt;Inputs!$C$39,"SHORTFALL","OK")</f>
        <v>OK</v>
      </c>
    </row>
    <row r="45" customFormat="false" ht="15" hidden="false" customHeight="false" outlineLevel="0" collapsed="false">
      <c r="B45" s="13" t="s">
        <v>246</v>
      </c>
      <c r="C45" s="14"/>
      <c r="D45" s="14"/>
      <c r="E45" s="14"/>
      <c r="F45" s="14"/>
      <c r="G45" s="14"/>
      <c r="H45" s="14"/>
      <c r="I45" s="14"/>
      <c r="J45" s="14"/>
      <c r="K45" s="14"/>
    </row>
    <row r="46" customFormat="false" ht="15" hidden="false" customHeight="false" outlineLevel="0" collapsed="false">
      <c r="B46" s="8" t="s">
        <v>52</v>
      </c>
      <c r="C46" s="35" t="n">
        <f aca="false">C6</f>
        <v>60</v>
      </c>
      <c r="D46" s="35" t="n">
        <f aca="false">D6</f>
        <v>180</v>
      </c>
      <c r="E46" s="35" t="n">
        <f aca="false">E6</f>
        <v>420</v>
      </c>
      <c r="F46" s="35" t="n">
        <f aca="false">F6</f>
        <v>800</v>
      </c>
      <c r="G46" s="35" t="n">
        <f aca="false">G6</f>
        <v>1500</v>
      </c>
      <c r="H46" s="35" t="n">
        <f aca="false">H6</f>
        <v>2600</v>
      </c>
      <c r="I46" s="35" t="n">
        <f aca="false">I6</f>
        <v>3800</v>
      </c>
      <c r="J46" s="35" t="n">
        <f aca="false">J6</f>
        <v>5000</v>
      </c>
    </row>
    <row r="47" customFormat="false" ht="15" hidden="false" customHeight="false" outlineLevel="0" collapsed="false">
      <c r="B47" s="8" t="s">
        <v>247</v>
      </c>
      <c r="C47" s="35" t="n">
        <f aca="false">C21</f>
        <v>-4.40000000000001</v>
      </c>
      <c r="D47" s="35" t="n">
        <f aca="false">D21</f>
        <v>0.0937499999999923</v>
      </c>
      <c r="E47" s="35" t="n">
        <f aca="false">E21</f>
        <v>6.48937500000002</v>
      </c>
      <c r="F47" s="35" t="n">
        <f aca="false">F21</f>
        <v>27.06375</v>
      </c>
      <c r="G47" s="35" t="n">
        <f aca="false">G21</f>
        <v>66.42375</v>
      </c>
      <c r="H47" s="35" t="n">
        <f aca="false">H21</f>
        <v>194.495625</v>
      </c>
      <c r="I47" s="35" t="n">
        <f aca="false">I21</f>
        <v>338.308125</v>
      </c>
      <c r="J47" s="35" t="n">
        <f aca="false">J21</f>
        <v>503.068125</v>
      </c>
    </row>
    <row r="48" customFormat="false" ht="15" hidden="false" customHeight="false" outlineLevel="0" collapsed="false">
      <c r="B48" s="8" t="s">
        <v>248</v>
      </c>
      <c r="C48" s="35" t="n">
        <f aca="false">C28</f>
        <v>-22.7753424657534</v>
      </c>
      <c r="D48" s="35" t="n">
        <f aca="false">D28</f>
        <v>-42.0583047945206</v>
      </c>
      <c r="E48" s="35" t="n">
        <f aca="false">E28</f>
        <v>-64.4982962328767</v>
      </c>
      <c r="F48" s="35" t="n">
        <f aca="false">F28</f>
        <v>-55.3239212328767</v>
      </c>
      <c r="G48" s="35" t="n">
        <f aca="false">G28</f>
        <v>-51.9337842465754</v>
      </c>
      <c r="H48" s="35" t="n">
        <f aca="false">H28</f>
        <v>118.398364726028</v>
      </c>
      <c r="I48" s="35" t="n">
        <f aca="false">I28</f>
        <v>347.005385273973</v>
      </c>
      <c r="J48" s="35" t="n">
        <f aca="false">J28</f>
        <v>493.77908390411</v>
      </c>
    </row>
    <row r="49" customFormat="false" ht="15" hidden="false" customHeight="false" outlineLevel="0" collapsed="false">
      <c r="B49" s="8" t="s">
        <v>249</v>
      </c>
      <c r="C49" s="35" t="n">
        <f aca="false">C21</f>
        <v>-4.40000000000001</v>
      </c>
      <c r="D49" s="35" t="n">
        <f aca="false">C49+D21</f>
        <v>-4.30625000000001</v>
      </c>
      <c r="E49" s="35" t="n">
        <f aca="false">D49+E21</f>
        <v>2.18312500000001</v>
      </c>
      <c r="F49" s="35" t="n">
        <f aca="false">E49+F21</f>
        <v>29.246875</v>
      </c>
      <c r="G49" s="35" t="n">
        <f aca="false">F49+G21</f>
        <v>95.670625</v>
      </c>
      <c r="H49" s="35" t="n">
        <f aca="false">G49+H21</f>
        <v>290.16625</v>
      </c>
      <c r="I49" s="35" t="n">
        <f aca="false">H49+I21</f>
        <v>628.474375</v>
      </c>
      <c r="J49" s="35" t="n">
        <f aca="false">I49+J21</f>
        <v>1131.5425</v>
      </c>
    </row>
    <row r="50" customFormat="false" ht="15" hidden="false" customHeight="false" outlineLevel="0" collapsed="false">
      <c r="B50" s="8" t="s">
        <v>250</v>
      </c>
      <c r="C50" s="35" t="n">
        <f aca="false">C28</f>
        <v>-22.7753424657534</v>
      </c>
      <c r="D50" s="35" t="n">
        <f aca="false">C50+D28</f>
        <v>-64.833647260274</v>
      </c>
      <c r="E50" s="35" t="n">
        <f aca="false">D50+E28</f>
        <v>-129.331943493151</v>
      </c>
      <c r="F50" s="35" t="n">
        <f aca="false">E50+F28</f>
        <v>-184.655864726027</v>
      </c>
      <c r="G50" s="35" t="n">
        <f aca="false">F50+G28</f>
        <v>-236.589648972603</v>
      </c>
      <c r="H50" s="35" t="n">
        <f aca="false">G50+H28</f>
        <v>-118.191284246575</v>
      </c>
      <c r="I50" s="35" t="n">
        <f aca="false">H50+I28</f>
        <v>228.814101027398</v>
      </c>
      <c r="J50" s="35" t="n">
        <f aca="false">I50+J28</f>
        <v>722.593184931507</v>
      </c>
    </row>
    <row r="51" customFormat="false" ht="15" hidden="false" customHeight="false" outlineLevel="0" collapsed="false">
      <c r="B51" s="8" t="s">
        <v>251</v>
      </c>
      <c r="C51" s="35" t="n">
        <f aca="false">SUM($C33:C37)</f>
        <v>35</v>
      </c>
      <c r="D51" s="35" t="n">
        <f aca="false">SUM($C33:D37)</f>
        <v>105</v>
      </c>
      <c r="E51" s="35" t="n">
        <f aca="false">SUM($C33:E37)</f>
        <v>214</v>
      </c>
      <c r="F51" s="35" t="n">
        <f aca="false">SUM($C33:F37)</f>
        <v>432</v>
      </c>
      <c r="G51" s="35" t="n">
        <f aca="false">SUM($C33:G37)</f>
        <v>922</v>
      </c>
      <c r="H51" s="35" t="n">
        <f aca="false">SUM($C33:H37)</f>
        <v>1307</v>
      </c>
      <c r="I51" s="35" t="n">
        <f aca="false">SUM($C33:I37)</f>
        <v>1292</v>
      </c>
      <c r="J51" s="35" t="n">
        <f aca="false">SUM($C33:J37)</f>
        <v>1255</v>
      </c>
    </row>
    <row r="52" customFormat="false" ht="15" hidden="false" customHeight="false" outlineLevel="0" collapsed="false">
      <c r="B52" s="8" t="s">
        <v>252</v>
      </c>
      <c r="C52" s="33" t="str">
        <f aca="false">IF(C21&lt;=0,"n.m.",C28/C21)</f>
        <v>n.m.</v>
      </c>
      <c r="D52" s="33" t="n">
        <f aca="false">IF(D21&lt;=0,"n.m.",D28/D21)</f>
        <v>-448.621917808256</v>
      </c>
      <c r="E52" s="33" t="n">
        <f aca="false">IF(E21&lt;=0,"n.m.",E28/E21)</f>
        <v>-9.93906134764542</v>
      </c>
      <c r="F52" s="33" t="n">
        <f aca="false">IF(F21&lt;=0,"n.m.",F28/F21)</f>
        <v>-2.04420751865047</v>
      </c>
      <c r="G52" s="33" t="n">
        <f aca="false">IF(G21&lt;=0,"n.m.",G28/G21)</f>
        <v>-0.781855650224135</v>
      </c>
      <c r="H52" s="33" t="n">
        <f aca="false">IF(H21&lt;=0,"n.m.",H28/H21)</f>
        <v>0.608745645183677</v>
      </c>
      <c r="I52" s="33" t="n">
        <f aca="false">IF(I21&lt;=0,"n.m.",I28/I21)</f>
        <v>1.02570810344556</v>
      </c>
      <c r="J52" s="33" t="n">
        <f aca="false">IF(J21&lt;=0,"n.m.",J28/J21)</f>
        <v>0.981535222300379</v>
      </c>
      <c r="K52" s="24" t="s">
        <v>253</v>
      </c>
    </row>
    <row r="54" customFormat="false" ht="30" hidden="false" customHeight="true" outlineLevel="0" collapsed="false">
      <c r="B54" s="38" t="s">
        <v>254</v>
      </c>
      <c r="C54" s="38"/>
      <c r="D54" s="38"/>
      <c r="E54" s="38"/>
      <c r="F54" s="38"/>
      <c r="G54" s="38"/>
      <c r="H54" s="38"/>
      <c r="I54" s="38"/>
      <c r="J54" s="38"/>
      <c r="K54" s="38"/>
    </row>
  </sheetData>
  <mergeCells count="1">
    <mergeCell ref="B54:K5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96784"/>
    <pageSetUpPr fitToPage="true"/>
  </sheetPr>
  <dimension ref="B1:K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10" min="3" style="0" width="11"/>
    <col collapsed="false" customWidth="true" hidden="false" outlineLevel="0" max="11" min="11" style="0" width="60"/>
  </cols>
  <sheetData>
    <row r="1" customFormat="false" ht="19.7" hidden="false" customHeight="false" outlineLevel="0" collapsed="false">
      <c r="B1" s="12" t="s">
        <v>255</v>
      </c>
    </row>
    <row r="2" customFormat="false" ht="15" hidden="false" customHeight="false" outlineLevel="0" collapsed="false">
      <c r="B2" s="2" t="s">
        <v>256</v>
      </c>
    </row>
    <row r="4" customFormat="false" ht="15" hidden="false" customHeight="false" outlineLevel="0" collapsed="false">
      <c r="B4" s="22" t="s">
        <v>134</v>
      </c>
      <c r="C4" s="16" t="s">
        <v>51</v>
      </c>
      <c r="D4" s="16" t="s">
        <v>79</v>
      </c>
      <c r="E4" s="16" t="s">
        <v>90</v>
      </c>
      <c r="F4" s="16" t="s">
        <v>101</v>
      </c>
      <c r="G4" s="16" t="s">
        <v>112</v>
      </c>
      <c r="H4" s="16" t="s">
        <v>123</v>
      </c>
      <c r="I4" s="16" t="s">
        <v>124</v>
      </c>
      <c r="J4" s="16" t="s">
        <v>125</v>
      </c>
      <c r="K4" s="22" t="s">
        <v>135</v>
      </c>
    </row>
    <row r="5" customFormat="false" ht="15" hidden="false" customHeight="false" outlineLevel="0" collapsed="false">
      <c r="B5" s="13" t="s">
        <v>257</v>
      </c>
      <c r="C5" s="14"/>
      <c r="D5" s="14"/>
      <c r="E5" s="14"/>
      <c r="F5" s="14"/>
      <c r="G5" s="14"/>
      <c r="H5" s="14"/>
      <c r="I5" s="14"/>
      <c r="J5" s="14"/>
      <c r="K5" s="14"/>
    </row>
    <row r="6" customFormat="false" ht="15" hidden="false" customHeight="false" outlineLevel="0" collapsed="false">
      <c r="B6" s="8" t="s">
        <v>52</v>
      </c>
      <c r="C6" s="17" t="n">
        <f aca="false">1_Rev_Profit_Cash!C6</f>
        <v>60</v>
      </c>
      <c r="D6" s="17" t="n">
        <f aca="false">1_Rev_Profit_Cash!D6</f>
        <v>180</v>
      </c>
      <c r="E6" s="17" t="n">
        <f aca="false">1_Rev_Profit_Cash!E6</f>
        <v>420</v>
      </c>
      <c r="F6" s="17" t="n">
        <f aca="false">1_Rev_Profit_Cash!F6</f>
        <v>800</v>
      </c>
      <c r="G6" s="17" t="n">
        <f aca="false">1_Rev_Profit_Cash!G6</f>
        <v>1500</v>
      </c>
      <c r="H6" s="17" t="n">
        <f aca="false">1_Rev_Profit_Cash!H6</f>
        <v>2600</v>
      </c>
      <c r="I6" s="17" t="n">
        <f aca="false">1_Rev_Profit_Cash!I6</f>
        <v>3800</v>
      </c>
      <c r="J6" s="17" t="n">
        <f aca="false">1_Rev_Profit_Cash!J6</f>
        <v>5000</v>
      </c>
    </row>
    <row r="7" customFormat="false" ht="15" hidden="false" customHeight="false" outlineLevel="0" collapsed="false">
      <c r="B7" s="8" t="s">
        <v>258</v>
      </c>
      <c r="C7" s="17" t="n">
        <f aca="false">1_Rev_Profit_Cash!C8</f>
        <v>46.8</v>
      </c>
      <c r="D7" s="17" t="n">
        <f aca="false">1_Rev_Profit_Cash!D8</f>
        <v>136.8</v>
      </c>
      <c r="E7" s="17" t="n">
        <f aca="false">1_Rev_Profit_Cash!E8</f>
        <v>306.6</v>
      </c>
      <c r="F7" s="17" t="n">
        <f aca="false">1_Rev_Profit_Cash!F8</f>
        <v>576</v>
      </c>
      <c r="G7" s="17" t="n">
        <f aca="false">1_Rev_Profit_Cash!G8</f>
        <v>1065</v>
      </c>
      <c r="H7" s="17" t="n">
        <f aca="false">1_Rev_Profit_Cash!H8</f>
        <v>1820</v>
      </c>
      <c r="I7" s="17" t="n">
        <f aca="false">1_Rev_Profit_Cash!I8</f>
        <v>2660</v>
      </c>
      <c r="J7" s="17" t="n">
        <f aca="false">1_Rev_Profit_Cash!J8</f>
        <v>3500</v>
      </c>
    </row>
    <row r="8" customFormat="false" ht="15" hidden="false" customHeight="false" outlineLevel="0" collapsed="false">
      <c r="B8" s="8" t="s">
        <v>259</v>
      </c>
      <c r="C8" s="19" t="n">
        <f aca="false">Inputs!C13</f>
        <v>75</v>
      </c>
      <c r="D8" s="19" t="n">
        <f aca="false">Inputs!D13</f>
        <v>90</v>
      </c>
      <c r="E8" s="19" t="n">
        <f aca="false">Inputs!E13</f>
        <v>95</v>
      </c>
      <c r="F8" s="19" t="n">
        <f aca="false">Inputs!F13</f>
        <v>90</v>
      </c>
      <c r="G8" s="19" t="n">
        <f aca="false">Inputs!G13</f>
        <v>85</v>
      </c>
      <c r="H8" s="19" t="n">
        <f aca="false">Inputs!H13</f>
        <v>80</v>
      </c>
      <c r="I8" s="19" t="n">
        <f aca="false">Inputs!I13</f>
        <v>75</v>
      </c>
      <c r="J8" s="19" t="n">
        <f aca="false">Inputs!J13</f>
        <v>70</v>
      </c>
    </row>
    <row r="9" customFormat="false" ht="15" hidden="false" customHeight="false" outlineLevel="0" collapsed="false">
      <c r="B9" s="8" t="s">
        <v>260</v>
      </c>
      <c r="C9" s="19" t="n">
        <f aca="false">Inputs!C14*365</f>
        <v>18.25</v>
      </c>
      <c r="D9" s="19" t="n">
        <f aca="false">Inputs!D14*365</f>
        <v>18.25</v>
      </c>
      <c r="E9" s="19" t="n">
        <f aca="false">Inputs!E14*365</f>
        <v>18.25</v>
      </c>
      <c r="F9" s="19" t="n">
        <f aca="false">Inputs!F14*365</f>
        <v>18.25</v>
      </c>
      <c r="G9" s="19" t="n">
        <f aca="false">Inputs!G14*365</f>
        <v>18.25</v>
      </c>
      <c r="H9" s="19" t="n">
        <f aca="false">Inputs!H14*365</f>
        <v>18.25</v>
      </c>
      <c r="I9" s="19" t="n">
        <f aca="false">Inputs!I14*365</f>
        <v>18.25</v>
      </c>
      <c r="J9" s="19" t="n">
        <f aca="false">Inputs!J14*365</f>
        <v>18.25</v>
      </c>
      <c r="K9" s="24" t="s">
        <v>261</v>
      </c>
    </row>
    <row r="10" customFormat="false" ht="15" hidden="false" customHeight="false" outlineLevel="0" collapsed="false">
      <c r="B10" s="8" t="s">
        <v>262</v>
      </c>
      <c r="C10" s="19" t="n">
        <f aca="false">Inputs!C15</f>
        <v>45</v>
      </c>
      <c r="D10" s="19" t="n">
        <f aca="false">Inputs!D15</f>
        <v>50</v>
      </c>
      <c r="E10" s="19" t="n">
        <f aca="false">Inputs!E15</f>
        <v>55</v>
      </c>
      <c r="F10" s="19" t="n">
        <f aca="false">Inputs!F15</f>
        <v>60</v>
      </c>
      <c r="G10" s="19" t="n">
        <f aca="false">Inputs!G15</f>
        <v>60</v>
      </c>
      <c r="H10" s="19" t="n">
        <f aca="false">Inputs!H15</f>
        <v>55</v>
      </c>
      <c r="I10" s="19" t="n">
        <f aca="false">Inputs!I15</f>
        <v>50</v>
      </c>
      <c r="J10" s="19" t="n">
        <f aca="false">Inputs!J15</f>
        <v>50</v>
      </c>
    </row>
    <row r="11" customFormat="false" ht="15" hidden="false" customHeight="false" outlineLevel="0" collapsed="false">
      <c r="B11" s="8" t="s">
        <v>263</v>
      </c>
      <c r="C11" s="19" t="n">
        <f aca="false">Inputs!C16</f>
        <v>15</v>
      </c>
      <c r="D11" s="19" t="n">
        <f aca="false">Inputs!D16</f>
        <v>20</v>
      </c>
      <c r="E11" s="19" t="n">
        <f aca="false">Inputs!E16</f>
        <v>25</v>
      </c>
      <c r="F11" s="19" t="n">
        <f aca="false">Inputs!F16</f>
        <v>30</v>
      </c>
      <c r="G11" s="19" t="n">
        <f aca="false">Inputs!G16</f>
        <v>35</v>
      </c>
      <c r="H11" s="19" t="n">
        <f aca="false">Inputs!H16</f>
        <v>40</v>
      </c>
      <c r="I11" s="19" t="n">
        <f aca="false">Inputs!I16</f>
        <v>45</v>
      </c>
      <c r="J11" s="19" t="n">
        <f aca="false">Inputs!J16</f>
        <v>45</v>
      </c>
    </row>
    <row r="12" customFormat="false" ht="15" hidden="false" customHeight="false" outlineLevel="0" collapsed="false">
      <c r="B12" s="8" t="s">
        <v>264</v>
      </c>
      <c r="C12" s="19" t="n">
        <f aca="false">Inputs!C17*365</f>
        <v>0</v>
      </c>
      <c r="D12" s="19" t="n">
        <f aca="false">Inputs!D17*365</f>
        <v>0</v>
      </c>
      <c r="E12" s="19" t="n">
        <f aca="false">Inputs!E17*365</f>
        <v>10.95</v>
      </c>
      <c r="F12" s="19" t="n">
        <f aca="false">Inputs!F17*365</f>
        <v>18.25</v>
      </c>
      <c r="G12" s="19" t="n">
        <f aca="false">Inputs!G17*365</f>
        <v>18.25</v>
      </c>
      <c r="H12" s="19" t="n">
        <f aca="false">Inputs!H17*365</f>
        <v>25.55</v>
      </c>
      <c r="I12" s="19" t="n">
        <f aca="false">Inputs!I17*365</f>
        <v>29.2</v>
      </c>
      <c r="J12" s="19" t="n">
        <f aca="false">Inputs!J17*365</f>
        <v>29.2</v>
      </c>
    </row>
    <row r="14" customFormat="false" ht="15" hidden="false" customHeight="false" outlineLevel="0" collapsed="false">
      <c r="B14" s="13" t="s">
        <v>265</v>
      </c>
      <c r="C14" s="14"/>
      <c r="D14" s="14"/>
      <c r="E14" s="14"/>
      <c r="F14" s="14"/>
      <c r="G14" s="14"/>
      <c r="H14" s="14"/>
      <c r="I14" s="14"/>
      <c r="J14" s="14"/>
      <c r="K14" s="14"/>
    </row>
    <row r="15" customFormat="false" ht="15" hidden="false" customHeight="false" outlineLevel="0" collapsed="false">
      <c r="B15" s="7" t="s">
        <v>266</v>
      </c>
      <c r="C15" s="39" t="n">
        <f aca="false">C10+C8+C9</f>
        <v>138.25</v>
      </c>
      <c r="D15" s="39" t="n">
        <f aca="false">D10+D8+D9</f>
        <v>158.25</v>
      </c>
      <c r="E15" s="39" t="n">
        <f aca="false">E10+E8+E9</f>
        <v>168.25</v>
      </c>
      <c r="F15" s="39" t="n">
        <f aca="false">F10+F8+F9</f>
        <v>168.25</v>
      </c>
      <c r="G15" s="39" t="n">
        <f aca="false">G10+G8+G9</f>
        <v>163.25</v>
      </c>
      <c r="H15" s="39" t="n">
        <f aca="false">H10+H8+H9</f>
        <v>153.25</v>
      </c>
      <c r="I15" s="39" t="n">
        <f aca="false">I10+I8+I9</f>
        <v>143.25</v>
      </c>
      <c r="J15" s="39" t="n">
        <f aca="false">J10+J8+J9</f>
        <v>138.25</v>
      </c>
      <c r="K15" s="24" t="s">
        <v>267</v>
      </c>
    </row>
    <row r="16" customFormat="false" ht="15" hidden="false" customHeight="false" outlineLevel="0" collapsed="false">
      <c r="B16" s="7" t="s">
        <v>268</v>
      </c>
      <c r="C16" s="39" t="n">
        <f aca="false">C15-C11-C12</f>
        <v>123.25</v>
      </c>
      <c r="D16" s="39" t="n">
        <f aca="false">D15-D11-D12</f>
        <v>138.25</v>
      </c>
      <c r="E16" s="39" t="n">
        <f aca="false">E15-E11-E12</f>
        <v>132.3</v>
      </c>
      <c r="F16" s="39" t="n">
        <f aca="false">F15-F11-F12</f>
        <v>120</v>
      </c>
      <c r="G16" s="39" t="n">
        <f aca="false">G15-G11-G12</f>
        <v>110</v>
      </c>
      <c r="H16" s="39" t="n">
        <f aca="false">H15-H11-H12</f>
        <v>87.7</v>
      </c>
      <c r="I16" s="39" t="n">
        <f aca="false">I15-I11-I12</f>
        <v>69.05</v>
      </c>
      <c r="J16" s="39" t="n">
        <f aca="false">J15-J11-J12</f>
        <v>64.05</v>
      </c>
      <c r="K16" s="24" t="s">
        <v>269</v>
      </c>
    </row>
    <row r="18" customFormat="false" ht="15" hidden="false" customHeight="false" outlineLevel="0" collapsed="false">
      <c r="B18" s="13" t="s">
        <v>270</v>
      </c>
      <c r="C18" s="14"/>
      <c r="D18" s="14"/>
      <c r="E18" s="14"/>
      <c r="F18" s="14"/>
      <c r="G18" s="14"/>
      <c r="H18" s="14"/>
      <c r="I18" s="14"/>
      <c r="J18" s="14"/>
      <c r="K18" s="14"/>
    </row>
    <row r="19" customFormat="false" ht="15" hidden="false" customHeight="false" outlineLevel="0" collapsed="false">
      <c r="B19" s="8" t="s">
        <v>271</v>
      </c>
      <c r="C19" s="35" t="n">
        <f aca="false">C6*C8/365</f>
        <v>12.3287671232877</v>
      </c>
      <c r="D19" s="35" t="n">
        <f aca="false">D6*D8/365</f>
        <v>44.3835616438356</v>
      </c>
      <c r="E19" s="35" t="n">
        <f aca="false">E6*E8/365</f>
        <v>109.315068493151</v>
      </c>
      <c r="F19" s="35" t="n">
        <f aca="false">F6*F8/365</f>
        <v>197.260273972603</v>
      </c>
      <c r="G19" s="35" t="n">
        <f aca="false">G6*G8/365</f>
        <v>349.315068493151</v>
      </c>
      <c r="H19" s="35" t="n">
        <f aca="false">H6*H8/365</f>
        <v>569.86301369863</v>
      </c>
      <c r="I19" s="35" t="n">
        <f aca="false">I6*I8/365</f>
        <v>780.821917808219</v>
      </c>
      <c r="J19" s="35" t="n">
        <f aca="false">J6*J8/365</f>
        <v>958.904109589041</v>
      </c>
    </row>
    <row r="20" customFormat="false" ht="15" hidden="false" customHeight="false" outlineLevel="0" collapsed="false">
      <c r="B20" s="8" t="s">
        <v>272</v>
      </c>
      <c r="C20" s="17" t="n">
        <f aca="false">C6*Inputs!C14</f>
        <v>3</v>
      </c>
      <c r="D20" s="17" t="n">
        <f aca="false">D6*Inputs!D14</f>
        <v>9</v>
      </c>
      <c r="E20" s="17" t="n">
        <f aca="false">E6*Inputs!E14</f>
        <v>21</v>
      </c>
      <c r="F20" s="17" t="n">
        <f aca="false">F6*Inputs!F14</f>
        <v>40</v>
      </c>
      <c r="G20" s="17" t="n">
        <f aca="false">G6*Inputs!G14</f>
        <v>75</v>
      </c>
      <c r="H20" s="17" t="n">
        <f aca="false">H6*Inputs!H14</f>
        <v>130</v>
      </c>
      <c r="I20" s="17" t="n">
        <f aca="false">I6*Inputs!I14</f>
        <v>190</v>
      </c>
      <c r="J20" s="17" t="n">
        <f aca="false">J6*Inputs!J14</f>
        <v>250</v>
      </c>
    </row>
    <row r="21" customFormat="false" ht="15" hidden="false" customHeight="false" outlineLevel="0" collapsed="false">
      <c r="B21" s="8" t="s">
        <v>273</v>
      </c>
      <c r="C21" s="35" t="n">
        <f aca="false">C7*C10/365</f>
        <v>5.76986301369863</v>
      </c>
      <c r="D21" s="35" t="n">
        <f aca="false">D7*D10/365</f>
        <v>18.7397260273973</v>
      </c>
      <c r="E21" s="35" t="n">
        <f aca="false">E7*E10/365</f>
        <v>46.2</v>
      </c>
      <c r="F21" s="35" t="n">
        <f aca="false">F7*F10/365</f>
        <v>94.6849315068493</v>
      </c>
      <c r="G21" s="35" t="n">
        <f aca="false">G7*G10/365</f>
        <v>175.068493150685</v>
      </c>
      <c r="H21" s="35" t="n">
        <f aca="false">H7*H10/365</f>
        <v>274.246575342466</v>
      </c>
      <c r="I21" s="35" t="n">
        <f aca="false">I7*I10/365</f>
        <v>364.383561643836</v>
      </c>
      <c r="J21" s="35" t="n">
        <f aca="false">J7*J10/365</f>
        <v>479.452054794521</v>
      </c>
    </row>
    <row r="22" customFormat="false" ht="15" hidden="false" customHeight="false" outlineLevel="0" collapsed="false">
      <c r="B22" s="8" t="s">
        <v>274</v>
      </c>
      <c r="C22" s="35" t="n">
        <f aca="false">-C7*C11/365</f>
        <v>-1.92328767123288</v>
      </c>
      <c r="D22" s="35" t="n">
        <f aca="false">-D7*D11/365</f>
        <v>-7.4958904109589</v>
      </c>
      <c r="E22" s="35" t="n">
        <f aca="false">-E7*E11/365</f>
        <v>-21</v>
      </c>
      <c r="F22" s="35" t="n">
        <f aca="false">-F7*F11/365</f>
        <v>-47.3424657534247</v>
      </c>
      <c r="G22" s="35" t="n">
        <f aca="false">-G7*G11/365</f>
        <v>-102.123287671233</v>
      </c>
      <c r="H22" s="35" t="n">
        <f aca="false">-H7*H11/365</f>
        <v>-199.452054794521</v>
      </c>
      <c r="I22" s="35" t="n">
        <f aca="false">-I7*I11/365</f>
        <v>-327.945205479452</v>
      </c>
      <c r="J22" s="35" t="n">
        <f aca="false">-J7*J11/365</f>
        <v>-431.506849315069</v>
      </c>
    </row>
    <row r="23" customFormat="false" ht="15" hidden="false" customHeight="false" outlineLevel="0" collapsed="false">
      <c r="B23" s="8" t="s">
        <v>275</v>
      </c>
      <c r="C23" s="17" t="n">
        <f aca="false">-C6*Inputs!C17</f>
        <v>-0</v>
      </c>
      <c r="D23" s="17" t="n">
        <f aca="false">-D6*Inputs!D17</f>
        <v>-0</v>
      </c>
      <c r="E23" s="17" t="n">
        <f aca="false">-E6*Inputs!E17</f>
        <v>-12.6</v>
      </c>
      <c r="F23" s="17" t="n">
        <f aca="false">-F6*Inputs!F17</f>
        <v>-40</v>
      </c>
      <c r="G23" s="17" t="n">
        <f aca="false">-G6*Inputs!G17</f>
        <v>-75</v>
      </c>
      <c r="H23" s="17" t="n">
        <f aca="false">-H6*Inputs!H17</f>
        <v>-182</v>
      </c>
      <c r="I23" s="17" t="n">
        <f aca="false">-I6*Inputs!I17</f>
        <v>-304</v>
      </c>
      <c r="J23" s="17" t="n">
        <f aca="false">-J6*Inputs!J17</f>
        <v>-400</v>
      </c>
    </row>
    <row r="24" customFormat="false" ht="15" hidden="false" customHeight="false" outlineLevel="0" collapsed="false">
      <c r="B24" s="7" t="s">
        <v>276</v>
      </c>
      <c r="C24" s="34" t="n">
        <f aca="false">SUM(C19:C23)</f>
        <v>19.1753424657534</v>
      </c>
      <c r="D24" s="34" t="n">
        <f aca="false">SUM(D19:D23)</f>
        <v>64.627397260274</v>
      </c>
      <c r="E24" s="34" t="n">
        <f aca="false">SUM(E19:E23)</f>
        <v>142.915068493151</v>
      </c>
      <c r="F24" s="34" t="n">
        <f aca="false">SUM(F19:F23)</f>
        <v>244.602739726027</v>
      </c>
      <c r="G24" s="34" t="n">
        <f aca="false">SUM(G19:G23)</f>
        <v>422.260273972603</v>
      </c>
      <c r="H24" s="34" t="n">
        <f aca="false">SUM(H19:H23)</f>
        <v>592.657534246575</v>
      </c>
      <c r="I24" s="34" t="n">
        <f aca="false">SUM(I19:I23)</f>
        <v>703.260273972603</v>
      </c>
      <c r="J24" s="34" t="n">
        <f aca="false">SUM(J19:J23)</f>
        <v>856.849315068493</v>
      </c>
    </row>
    <row r="25" customFormat="false" ht="15" hidden="false" customHeight="false" outlineLevel="0" collapsed="false">
      <c r="B25" s="7" t="s">
        <v>277</v>
      </c>
      <c r="C25" s="36" t="n">
        <f aca="false">C24</f>
        <v>19.1753424657534</v>
      </c>
      <c r="D25" s="36" t="n">
        <f aca="false">D24-C24</f>
        <v>45.4520547945206</v>
      </c>
      <c r="E25" s="36" t="n">
        <f aca="false">E24-D24</f>
        <v>78.2876712328767</v>
      </c>
      <c r="F25" s="36" t="n">
        <f aca="false">F24-E24</f>
        <v>101.687671232877</v>
      </c>
      <c r="G25" s="36" t="n">
        <f aca="false">G24-F24</f>
        <v>177.657534246575</v>
      </c>
      <c r="H25" s="36" t="n">
        <f aca="false">H24-G24</f>
        <v>170.397260273973</v>
      </c>
      <c r="I25" s="36" t="n">
        <f aca="false">I24-H24</f>
        <v>110.602739726027</v>
      </c>
      <c r="J25" s="36" t="n">
        <f aca="false">J24-I24</f>
        <v>153.58904109589</v>
      </c>
    </row>
    <row r="26" customFormat="false" ht="15" hidden="false" customHeight="false" outlineLevel="0" collapsed="false">
      <c r="B26" s="8" t="s">
        <v>278</v>
      </c>
      <c r="C26" s="33" t="n">
        <f aca="false">IF(C6=0,0,C24/C6)</f>
        <v>0.31958904109589</v>
      </c>
      <c r="D26" s="33" t="n">
        <f aca="false">IF(D6=0,0,D24/D6)</f>
        <v>0.359041095890411</v>
      </c>
      <c r="E26" s="33" t="n">
        <f aca="false">IF(E6=0,0,E24/E6)</f>
        <v>0.34027397260274</v>
      </c>
      <c r="F26" s="33" t="n">
        <f aca="false">IF(F6=0,0,F24/F6)</f>
        <v>0.305753424657534</v>
      </c>
      <c r="G26" s="33" t="n">
        <f aca="false">IF(G6=0,0,G24/G6)</f>
        <v>0.281506849315069</v>
      </c>
      <c r="H26" s="33" t="n">
        <f aca="false">IF(H6=0,0,H24/H6)</f>
        <v>0.227945205479452</v>
      </c>
      <c r="I26" s="33" t="n">
        <f aca="false">IF(I6=0,0,I24/I6)</f>
        <v>0.185068493150685</v>
      </c>
      <c r="J26" s="33" t="n">
        <f aca="false">IF(J6=0,0,J24/J6)</f>
        <v>0.171369863013699</v>
      </c>
    </row>
    <row r="27" customFormat="false" ht="15" hidden="false" customHeight="false" outlineLevel="0" collapsed="false">
      <c r="B27" s="8" t="s">
        <v>279</v>
      </c>
      <c r="C27" s="23"/>
      <c r="D27" s="35" t="n">
        <f aca="false">IF(D6-C6=0,0,100*D25/(D6-C6))</f>
        <v>37.8767123287671</v>
      </c>
      <c r="E27" s="35" t="n">
        <f aca="false">IF(E6-D6=0,0,100*E25/(E6-D6))</f>
        <v>32.6198630136986</v>
      </c>
      <c r="F27" s="35" t="n">
        <f aca="false">IF(F6-E6=0,0,100*F25/(F6-E6))</f>
        <v>26.759913482336</v>
      </c>
      <c r="G27" s="35" t="n">
        <f aca="false">IF(G6-F6=0,0,100*G25/(G6-F6))</f>
        <v>25.3796477495108</v>
      </c>
      <c r="H27" s="35" t="n">
        <f aca="false">IF(H6-G6=0,0,100*H25/(H6-G6))</f>
        <v>15.4906600249066</v>
      </c>
      <c r="I27" s="35" t="n">
        <f aca="false">IF(I6-H6=0,0,100*I25/(I6-H6))</f>
        <v>9.21689497716895</v>
      </c>
      <c r="J27" s="35" t="n">
        <f aca="false">IF(J6-I6=0,0,100*J25/(J6-I6))</f>
        <v>12.7990867579909</v>
      </c>
    </row>
    <row r="28" customFormat="false" ht="15" hidden="false" customHeight="false" outlineLevel="0" collapsed="false">
      <c r="B28" s="8" t="s">
        <v>280</v>
      </c>
      <c r="C28" s="17" t="n">
        <f aca="false">Inputs!C24</f>
        <v>0</v>
      </c>
      <c r="D28" s="17" t="n">
        <f aca="false">Inputs!D24</f>
        <v>40</v>
      </c>
      <c r="E28" s="17" t="n">
        <f aca="false">Inputs!E24</f>
        <v>110</v>
      </c>
      <c r="F28" s="17" t="n">
        <f aca="false">Inputs!F24</f>
        <v>160</v>
      </c>
      <c r="G28" s="17" t="n">
        <f aca="false">Inputs!G24</f>
        <v>220</v>
      </c>
      <c r="H28" s="17" t="n">
        <f aca="false">Inputs!H24</f>
        <v>280</v>
      </c>
      <c r="I28" s="17" t="n">
        <f aca="false">Inputs!I24</f>
        <v>300</v>
      </c>
      <c r="J28" s="17" t="n">
        <f aca="false">Inputs!J24</f>
        <v>300</v>
      </c>
    </row>
    <row r="29" customFormat="false" ht="15" hidden="false" customHeight="false" outlineLevel="0" collapsed="false">
      <c r="B29" s="8" t="s">
        <v>281</v>
      </c>
      <c r="C29" s="33" t="n">
        <f aca="false">IF(C24&lt;=0,0,C28/C24)</f>
        <v>0</v>
      </c>
      <c r="D29" s="33" t="n">
        <f aca="false">IF(D24&lt;=0,0,D28/D24)</f>
        <v>0.618932553308746</v>
      </c>
      <c r="E29" s="33" t="n">
        <f aca="false">IF(E24&lt;=0,0,E28/E24)</f>
        <v>0.769687907369067</v>
      </c>
      <c r="F29" s="33" t="n">
        <f aca="false">IF(F24&lt;=0,0,F28/F24)</f>
        <v>0.654121863799283</v>
      </c>
      <c r="G29" s="33" t="n">
        <f aca="false">IF(G24&lt;=0,0,G28/G24)</f>
        <v>0.521005677210057</v>
      </c>
      <c r="H29" s="33" t="n">
        <f aca="false">IF(H24&lt;=0,0,H28/H24)</f>
        <v>0.472448224852071</v>
      </c>
      <c r="I29" s="33" t="n">
        <f aca="false">IF(I24&lt;=0,0,I28/I24)</f>
        <v>0.42658459620554</v>
      </c>
      <c r="J29" s="33" t="n">
        <f aca="false">IF(J24&lt;=0,0,J28/J24)</f>
        <v>0.350119904076739</v>
      </c>
    </row>
    <row r="31" customFormat="false" ht="15" hidden="false" customHeight="false" outlineLevel="0" collapsed="false">
      <c r="B31" s="13" t="s">
        <v>282</v>
      </c>
      <c r="C31" s="14"/>
      <c r="D31" s="14"/>
      <c r="E31" s="14"/>
      <c r="F31" s="14"/>
      <c r="G31" s="14"/>
      <c r="H31" s="14"/>
      <c r="I31" s="14"/>
      <c r="J31" s="14"/>
      <c r="K31" s="14"/>
    </row>
    <row r="32" customFormat="false" ht="15" hidden="false" customHeight="false" outlineLevel="0" collapsed="false">
      <c r="B32" s="8" t="s">
        <v>283</v>
      </c>
      <c r="C32" s="40" t="n">
        <v>5</v>
      </c>
      <c r="D32" s="27" t="s">
        <v>284</v>
      </c>
      <c r="E32" s="27"/>
      <c r="F32" s="27"/>
      <c r="G32" s="27"/>
      <c r="H32" s="27"/>
      <c r="I32" s="27"/>
      <c r="J32" s="27"/>
      <c r="K32" s="27"/>
    </row>
    <row r="33" customFormat="false" ht="15" hidden="false" customHeight="false" outlineLevel="0" collapsed="false">
      <c r="B33" s="8" t="s">
        <v>285</v>
      </c>
      <c r="C33" s="26" t="n">
        <v>15</v>
      </c>
      <c r="D33" s="27" t="s">
        <v>286</v>
      </c>
      <c r="E33" s="27"/>
      <c r="F33" s="27"/>
      <c r="G33" s="27"/>
      <c r="H33" s="27"/>
      <c r="I33" s="27"/>
      <c r="J33" s="27"/>
      <c r="K33" s="27"/>
    </row>
    <row r="34" customFormat="false" ht="15" hidden="false" customHeight="false" outlineLevel="0" collapsed="false">
      <c r="B34" s="8" t="s">
        <v>287</v>
      </c>
      <c r="C34" s="41" t="n">
        <f aca="false">INDEX(C6:J6,C32)*C33/365</f>
        <v>61.6438356164384</v>
      </c>
      <c r="D34" s="27" t="s">
        <v>288</v>
      </c>
      <c r="E34" s="27"/>
      <c r="F34" s="27"/>
      <c r="G34" s="27"/>
      <c r="H34" s="27"/>
      <c r="I34" s="27"/>
      <c r="J34" s="27"/>
      <c r="K34" s="27"/>
    </row>
    <row r="35" customFormat="false" ht="15" hidden="false" customHeight="false" outlineLevel="0" collapsed="false">
      <c r="B35" s="8" t="s">
        <v>289</v>
      </c>
      <c r="C35" s="18" t="n">
        <f aca="false">C34/Inputs!G26</f>
        <v>0.136986301369863</v>
      </c>
      <c r="D35" s="27" t="s">
        <v>290</v>
      </c>
      <c r="E35" s="27"/>
      <c r="F35" s="27"/>
      <c r="G35" s="27"/>
      <c r="H35" s="27"/>
      <c r="I35" s="27"/>
      <c r="J35" s="27"/>
      <c r="K35" s="27"/>
    </row>
    <row r="37" customFormat="false" ht="45" hidden="false" customHeight="true" outlineLevel="0" collapsed="false">
      <c r="B37" s="38" t="s">
        <v>291</v>
      </c>
      <c r="C37" s="38"/>
      <c r="D37" s="38"/>
      <c r="E37" s="38"/>
      <c r="F37" s="38"/>
      <c r="G37" s="38"/>
      <c r="H37" s="38"/>
      <c r="I37" s="38"/>
      <c r="J37" s="38"/>
      <c r="K37" s="38"/>
    </row>
  </sheetData>
  <mergeCells count="5">
    <mergeCell ref="D32:K32"/>
    <mergeCell ref="D33:K33"/>
    <mergeCell ref="D34:K34"/>
    <mergeCell ref="D35:K35"/>
    <mergeCell ref="B37:K3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96784"/>
    <pageSetUpPr fitToPage="true"/>
  </sheetPr>
  <dimension ref="B1:L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12" min="3" style="0" width="14"/>
  </cols>
  <sheetData>
    <row r="1" customFormat="false" ht="19.7" hidden="false" customHeight="false" outlineLevel="0" collapsed="false">
      <c r="B1" s="12" t="s">
        <v>292</v>
      </c>
    </row>
    <row r="2" customFormat="false" ht="15" hidden="false" customHeight="false" outlineLevel="0" collapsed="false">
      <c r="B2" s="2" t="s">
        <v>293</v>
      </c>
    </row>
    <row r="4" customFormat="false" ht="15" hidden="false" customHeight="false" outlineLevel="0" collapsed="false">
      <c r="B4" s="13" t="s">
        <v>294</v>
      </c>
      <c r="C4" s="14"/>
      <c r="D4" s="14"/>
      <c r="E4" s="14"/>
      <c r="F4" s="14"/>
      <c r="G4" s="14"/>
      <c r="H4" s="14"/>
      <c r="I4" s="14"/>
      <c r="J4" s="14"/>
      <c r="K4" s="14"/>
    </row>
    <row r="5" customFormat="false" ht="15" hidden="false" customHeight="false" outlineLevel="0" collapsed="false">
      <c r="B5" s="22" t="s">
        <v>134</v>
      </c>
      <c r="C5" s="16" t="s">
        <v>51</v>
      </c>
      <c r="D5" s="16" t="s">
        <v>79</v>
      </c>
      <c r="E5" s="16" t="s">
        <v>90</v>
      </c>
      <c r="F5" s="16" t="s">
        <v>101</v>
      </c>
      <c r="G5" s="16" t="s">
        <v>112</v>
      </c>
      <c r="H5" s="16" t="s">
        <v>123</v>
      </c>
      <c r="I5" s="16" t="s">
        <v>124</v>
      </c>
      <c r="J5" s="16" t="s">
        <v>125</v>
      </c>
      <c r="K5" s="22" t="s">
        <v>135</v>
      </c>
    </row>
    <row r="6" customFormat="false" ht="15" hidden="false" customHeight="false" outlineLevel="0" collapsed="false">
      <c r="B6" s="8" t="s">
        <v>52</v>
      </c>
      <c r="C6" s="17" t="n">
        <f aca="false">1_Rev_Profit_Cash!C6</f>
        <v>60</v>
      </c>
      <c r="D6" s="17" t="n">
        <f aca="false">1_Rev_Profit_Cash!D6</f>
        <v>180</v>
      </c>
      <c r="E6" s="17" t="n">
        <f aca="false">1_Rev_Profit_Cash!E6</f>
        <v>420</v>
      </c>
      <c r="F6" s="17" t="n">
        <f aca="false">1_Rev_Profit_Cash!F6</f>
        <v>800</v>
      </c>
      <c r="G6" s="17" t="n">
        <f aca="false">1_Rev_Profit_Cash!G6</f>
        <v>1500</v>
      </c>
      <c r="H6" s="17" t="n">
        <f aca="false">1_Rev_Profit_Cash!H6</f>
        <v>2600</v>
      </c>
      <c r="I6" s="17" t="n">
        <f aca="false">1_Rev_Profit_Cash!I6</f>
        <v>3800</v>
      </c>
      <c r="J6" s="17" t="n">
        <f aca="false">1_Rev_Profit_Cash!J6</f>
        <v>5000</v>
      </c>
    </row>
    <row r="7" customFormat="false" ht="15" hidden="false" customHeight="false" outlineLevel="0" collapsed="false">
      <c r="B7" s="8" t="s">
        <v>295</v>
      </c>
      <c r="C7" s="25"/>
      <c r="D7" s="18" t="n">
        <f aca="false">1_Rev_Profit_Cash!D7</f>
        <v>2</v>
      </c>
      <c r="E7" s="18" t="n">
        <f aca="false">1_Rev_Profit_Cash!E7</f>
        <v>1.33333333333333</v>
      </c>
      <c r="F7" s="18" t="n">
        <f aca="false">1_Rev_Profit_Cash!F7</f>
        <v>0.904761904761905</v>
      </c>
      <c r="G7" s="18" t="n">
        <f aca="false">1_Rev_Profit_Cash!G7</f>
        <v>0.875</v>
      </c>
      <c r="H7" s="18" t="n">
        <f aca="false">1_Rev_Profit_Cash!H7</f>
        <v>0.733333333333333</v>
      </c>
      <c r="I7" s="18" t="n">
        <f aca="false">1_Rev_Profit_Cash!I7</f>
        <v>0.461538461538461</v>
      </c>
      <c r="J7" s="18" t="n">
        <f aca="false">1_Rev_Profit_Cash!J7</f>
        <v>0.315789473684211</v>
      </c>
    </row>
    <row r="8" customFormat="false" ht="15" hidden="false" customHeight="false" outlineLevel="0" collapsed="false">
      <c r="B8" s="8" t="s">
        <v>229</v>
      </c>
      <c r="C8" s="17" t="n">
        <f aca="false">1_Rev_Profit_Cash!C21</f>
        <v>-4.40000000000001</v>
      </c>
      <c r="D8" s="17" t="n">
        <f aca="false">1_Rev_Profit_Cash!D21</f>
        <v>0.0937499999999923</v>
      </c>
      <c r="E8" s="17" t="n">
        <f aca="false">1_Rev_Profit_Cash!E21</f>
        <v>6.48937500000002</v>
      </c>
      <c r="F8" s="17" t="n">
        <f aca="false">1_Rev_Profit_Cash!F21</f>
        <v>27.06375</v>
      </c>
      <c r="G8" s="17" t="n">
        <f aca="false">1_Rev_Profit_Cash!G21</f>
        <v>66.42375</v>
      </c>
      <c r="H8" s="17" t="n">
        <f aca="false">1_Rev_Profit_Cash!H21</f>
        <v>194.495625</v>
      </c>
      <c r="I8" s="17" t="n">
        <f aca="false">1_Rev_Profit_Cash!I21</f>
        <v>338.308125</v>
      </c>
      <c r="J8" s="17" t="n">
        <f aca="false">1_Rev_Profit_Cash!J21</f>
        <v>503.068125</v>
      </c>
    </row>
    <row r="9" customFormat="false" ht="15" hidden="false" customHeight="false" outlineLevel="0" collapsed="false">
      <c r="B9" s="8" t="s">
        <v>59</v>
      </c>
      <c r="C9" s="17" t="n">
        <f aca="false">1_Rev_Profit_Cash!C29</f>
        <v>-30.7753424657534</v>
      </c>
      <c r="D9" s="17" t="n">
        <f aca="false">1_Rev_Profit_Cash!D29</f>
        <v>-63.2833047945206</v>
      </c>
      <c r="E9" s="17" t="n">
        <f aca="false">1_Rev_Profit_Cash!E29</f>
        <v>-91.0507962328767</v>
      </c>
      <c r="F9" s="17" t="n">
        <f aca="false">1_Rev_Profit_Cash!F29</f>
        <v>-150.708921232877</v>
      </c>
      <c r="G9" s="17" t="n">
        <f aca="false">1_Rev_Profit_Cash!G29</f>
        <v>-419.798784246575</v>
      </c>
      <c r="H9" s="17" t="n">
        <f aca="false">1_Rev_Profit_Cash!H29</f>
        <v>-195.229135273972</v>
      </c>
      <c r="I9" s="17" t="n">
        <f aca="false">1_Rev_Profit_Cash!I29</f>
        <v>134.627885273973</v>
      </c>
      <c r="J9" s="17" t="n">
        <f aca="false">1_Rev_Profit_Cash!J29</f>
        <v>278.72158390411</v>
      </c>
    </row>
    <row r="10" customFormat="false" ht="15" hidden="false" customHeight="false" outlineLevel="0" collapsed="false">
      <c r="B10" s="7" t="s">
        <v>296</v>
      </c>
      <c r="C10" s="32" t="n">
        <f aca="false">Inputs!C20+Inputs!C21+Inputs!C25+Inputs!C26+Inputs!C27</f>
        <v>35</v>
      </c>
      <c r="D10" s="32" t="n">
        <f aca="false">Inputs!D20+Inputs!D21+Inputs!D25+Inputs!D26+Inputs!D27</f>
        <v>0</v>
      </c>
      <c r="E10" s="32" t="n">
        <f aca="false">Inputs!E20+Inputs!E21+Inputs!E25+Inputs!E26+Inputs!E27</f>
        <v>0</v>
      </c>
      <c r="F10" s="32" t="n">
        <f aca="false">Inputs!F20+Inputs!F21+Inputs!F25+Inputs!F26+Inputs!F27</f>
        <v>120</v>
      </c>
      <c r="G10" s="32" t="n">
        <f aca="false">Inputs!G20+Inputs!G21+Inputs!G25+Inputs!G26+Inputs!G27</f>
        <v>450</v>
      </c>
      <c r="H10" s="32" t="n">
        <f aca="false">Inputs!H20+Inputs!H21+Inputs!H25+Inputs!H26+Inputs!H27</f>
        <v>350</v>
      </c>
      <c r="I10" s="32" t="n">
        <f aca="false">Inputs!I20+Inputs!I21+Inputs!I25+Inputs!I26+Inputs!I27</f>
        <v>0</v>
      </c>
      <c r="J10" s="32" t="n">
        <f aca="false">Inputs!J20+Inputs!J21+Inputs!J25+Inputs!J26+Inputs!J27</f>
        <v>0</v>
      </c>
    </row>
    <row r="12" customFormat="false" ht="15" hidden="false" customHeight="false" outlineLevel="0" collapsed="false">
      <c r="B12" s="13" t="s">
        <v>297</v>
      </c>
      <c r="C12" s="14"/>
      <c r="D12" s="14"/>
      <c r="E12" s="14"/>
      <c r="F12" s="14"/>
      <c r="G12" s="14"/>
      <c r="H12" s="14"/>
      <c r="I12" s="14"/>
      <c r="J12" s="14"/>
      <c r="K12" s="14"/>
    </row>
    <row r="13" customFormat="false" ht="15" hidden="false" customHeight="false" outlineLevel="0" collapsed="false">
      <c r="B13" s="8" t="s">
        <v>298</v>
      </c>
      <c r="C13" s="17" t="n">
        <f aca="false">1_Rev_Profit_Cash!J21</f>
        <v>503.068125</v>
      </c>
    </row>
    <row r="14" customFormat="false" ht="15" hidden="false" customHeight="false" outlineLevel="0" collapsed="false">
      <c r="B14" s="8" t="s">
        <v>299</v>
      </c>
      <c r="C14" s="42" t="n">
        <f aca="false">Inputs!$C$49</f>
        <v>15</v>
      </c>
    </row>
    <row r="15" customFormat="false" ht="15" hidden="false" customHeight="false" outlineLevel="0" collapsed="false">
      <c r="B15" s="8" t="s">
        <v>300</v>
      </c>
      <c r="C15" s="41" t="n">
        <f aca="false">C13*C14</f>
        <v>7546.021875</v>
      </c>
      <c r="D15" s="27" t="s">
        <v>301</v>
      </c>
      <c r="E15" s="27"/>
      <c r="F15" s="27"/>
      <c r="G15" s="27"/>
      <c r="H15" s="27"/>
      <c r="I15" s="27"/>
      <c r="J15" s="27"/>
      <c r="K15" s="27"/>
    </row>
    <row r="17" customFormat="false" ht="15" hidden="false" customHeight="false" outlineLevel="0" collapsed="false">
      <c r="B17" s="13" t="s">
        <v>302</v>
      </c>
      <c r="C17" s="14"/>
      <c r="D17" s="14"/>
      <c r="E17" s="14"/>
      <c r="F17" s="14"/>
      <c r="G17" s="14"/>
      <c r="H17" s="14"/>
      <c r="I17" s="14"/>
      <c r="J17" s="14"/>
      <c r="K17" s="14"/>
    </row>
    <row r="18" customFormat="false" ht="30" hidden="false" customHeight="true" outlineLevel="0" collapsed="false">
      <c r="B18" s="43" t="s">
        <v>303</v>
      </c>
      <c r="C18" s="43" t="s">
        <v>304</v>
      </c>
      <c r="D18" s="43" t="s">
        <v>305</v>
      </c>
      <c r="E18" s="43" t="s">
        <v>306</v>
      </c>
      <c r="F18" s="43" t="s">
        <v>307</v>
      </c>
      <c r="G18" s="43" t="s">
        <v>308</v>
      </c>
      <c r="H18" s="43" t="s">
        <v>309</v>
      </c>
      <c r="I18" s="43" t="s">
        <v>310</v>
      </c>
      <c r="J18" s="43" t="s">
        <v>311</v>
      </c>
      <c r="K18" s="43" t="s">
        <v>312</v>
      </c>
      <c r="L18" s="43" t="s">
        <v>313</v>
      </c>
    </row>
    <row r="19" customFormat="false" ht="15" hidden="false" customHeight="false" outlineLevel="0" collapsed="false">
      <c r="B19" s="7" t="s">
        <v>314</v>
      </c>
      <c r="C19" s="8" t="s">
        <v>123</v>
      </c>
      <c r="D19" s="17" t="n">
        <f aca="false">Inputs!H27</f>
        <v>350</v>
      </c>
      <c r="E19" s="18" t="n">
        <f aca="false">Inputs!$C$48</f>
        <v>0.3</v>
      </c>
      <c r="F19" s="40" t="n">
        <v>3</v>
      </c>
      <c r="G19" s="44" t="n">
        <f aca="false">(1+E19)^F19</f>
        <v>2.197</v>
      </c>
      <c r="H19" s="33" t="n">
        <f aca="false">D19*G19/$C$15</f>
        <v>0.101901374358261</v>
      </c>
      <c r="I19" s="33" t="n">
        <v>1</v>
      </c>
      <c r="J19" s="45" t="n">
        <f aca="false">H19/I19</f>
        <v>0.101901374358261</v>
      </c>
      <c r="K19" s="35" t="n">
        <f aca="false">D19/J19</f>
        <v>3434.69361629495</v>
      </c>
      <c r="L19" s="35" t="n">
        <f aca="false">K19-D19</f>
        <v>3084.69361629495</v>
      </c>
    </row>
    <row r="20" customFormat="false" ht="15" hidden="false" customHeight="false" outlineLevel="0" collapsed="false">
      <c r="B20" s="7" t="s">
        <v>315</v>
      </c>
      <c r="C20" s="8" t="s">
        <v>112</v>
      </c>
      <c r="D20" s="17" t="n">
        <f aca="false">Inputs!G26</f>
        <v>450</v>
      </c>
      <c r="E20" s="18" t="n">
        <f aca="false">Inputs!$C$47</f>
        <v>0.4</v>
      </c>
      <c r="F20" s="40" t="n">
        <v>4</v>
      </c>
      <c r="G20" s="44" t="n">
        <f aca="false">(1+E20)^F20</f>
        <v>3.8416</v>
      </c>
      <c r="H20" s="33" t="n">
        <f aca="false">D20*G20/$C$15</f>
        <v>0.229090244984216</v>
      </c>
      <c r="I20" s="33" t="n">
        <f aca="false">1-J19</f>
        <v>0.898098625641739</v>
      </c>
      <c r="J20" s="45" t="n">
        <f aca="false">H20/I20</f>
        <v>0.255083616034395</v>
      </c>
      <c r="K20" s="35" t="n">
        <f aca="false">D20/J20</f>
        <v>1764.1274143586</v>
      </c>
      <c r="L20" s="35" t="n">
        <f aca="false">K20-D20</f>
        <v>1314.1274143586</v>
      </c>
    </row>
    <row r="21" customFormat="false" ht="15" hidden="false" customHeight="false" outlineLevel="0" collapsed="false">
      <c r="B21" s="7" t="s">
        <v>316</v>
      </c>
      <c r="C21" s="8" t="s">
        <v>101</v>
      </c>
      <c r="D21" s="17" t="n">
        <f aca="false">Inputs!F25</f>
        <v>120</v>
      </c>
      <c r="E21" s="18" t="n">
        <f aca="false">Inputs!$C$46</f>
        <v>0.5</v>
      </c>
      <c r="F21" s="40" t="n">
        <v>5</v>
      </c>
      <c r="G21" s="44" t="n">
        <f aca="false">(1+E21)^F21</f>
        <v>7.59375</v>
      </c>
      <c r="H21" s="33" t="n">
        <f aca="false">D21*G21/$C$15</f>
        <v>0.120758992631465</v>
      </c>
      <c r="I21" s="33" t="n">
        <f aca="false">(1-J20)*(1-J19)</f>
        <v>0.669008380657524</v>
      </c>
      <c r="J21" s="45" t="n">
        <f aca="false">H21/I21</f>
        <v>0.180504454238345</v>
      </c>
      <c r="K21" s="35" t="n">
        <f aca="false">D21/J21</f>
        <v>664.80353909465</v>
      </c>
      <c r="L21" s="35" t="n">
        <f aca="false">K21-D21</f>
        <v>544.80353909465</v>
      </c>
    </row>
    <row r="23" customFormat="false" ht="45" hidden="false" customHeight="true" outlineLevel="0" collapsed="false">
      <c r="B23" s="38" t="s">
        <v>317</v>
      </c>
      <c r="C23" s="38"/>
      <c r="D23" s="38"/>
      <c r="E23" s="38"/>
      <c r="F23" s="38"/>
      <c r="G23" s="38"/>
      <c r="H23" s="38"/>
      <c r="I23" s="38"/>
      <c r="J23" s="38"/>
      <c r="K23" s="38"/>
    </row>
    <row r="25" customFormat="false" ht="15" hidden="false" customHeight="false" outlineLevel="0" collapsed="false">
      <c r="B25" s="13" t="s">
        <v>318</v>
      </c>
      <c r="C25" s="14"/>
      <c r="D25" s="14"/>
      <c r="E25" s="14"/>
      <c r="F25" s="14"/>
      <c r="G25" s="14"/>
      <c r="H25" s="14"/>
      <c r="I25" s="14"/>
      <c r="J25" s="14"/>
      <c r="K25" s="14"/>
    </row>
    <row r="26" customFormat="false" ht="30" hidden="false" customHeight="true" outlineLevel="0" collapsed="false">
      <c r="B26" s="43" t="s">
        <v>319</v>
      </c>
      <c r="C26" s="43" t="s">
        <v>320</v>
      </c>
      <c r="D26" s="43" t="s">
        <v>321</v>
      </c>
      <c r="E26" s="43" t="s">
        <v>322</v>
      </c>
      <c r="F26" s="43" t="s">
        <v>323</v>
      </c>
      <c r="G26" s="43" t="s">
        <v>324</v>
      </c>
      <c r="H26" s="43" t="s">
        <v>325</v>
      </c>
      <c r="I26" s="43" t="s">
        <v>326</v>
      </c>
      <c r="J26" s="43" t="s">
        <v>327</v>
      </c>
      <c r="K26" s="43" t="s">
        <v>328</v>
      </c>
    </row>
    <row r="27" customFormat="false" ht="15" hidden="false" customHeight="false" outlineLevel="0" collapsed="false">
      <c r="B27" s="7" t="s">
        <v>329</v>
      </c>
      <c r="C27" s="33" t="n">
        <f aca="false">1-Inputs!$C$42</f>
        <v>0.9</v>
      </c>
      <c r="D27" s="33" t="n">
        <f aca="false">C27*(1-J21)</f>
        <v>0.73754599118549</v>
      </c>
      <c r="E27" s="33" t="n">
        <f aca="false">D27*(1-J20)</f>
        <v>0.549410092762223</v>
      </c>
      <c r="F27" s="33" t="n">
        <f aca="false">E27*(1-J19)</f>
        <v>0.493424449223453</v>
      </c>
      <c r="G27" s="17" t="n">
        <f aca="false">Inputs!C20</f>
        <v>25</v>
      </c>
      <c r="H27" s="35" t="n">
        <f aca="false">F27*$C$15</f>
        <v>3723.3916875</v>
      </c>
      <c r="I27" s="44" t="n">
        <f aca="false">IF(G27=0,0,H27/G27)</f>
        <v>148.9356675</v>
      </c>
      <c r="J27" s="40" t="n">
        <v>8</v>
      </c>
      <c r="K27" s="33" t="n">
        <f aca="false">IF(G27=0,0,I27^(1/J27)-1)</f>
        <v>0.869066870085989</v>
      </c>
    </row>
    <row r="28" customFormat="false" ht="15" hidden="false" customHeight="false" outlineLevel="0" collapsed="false">
      <c r="B28" s="7" t="s">
        <v>330</v>
      </c>
      <c r="C28" s="33" t="n">
        <f aca="false">Inputs!$C$42</f>
        <v>0.1</v>
      </c>
      <c r="D28" s="33" t="n">
        <f aca="false">C28*(1-J21)</f>
        <v>0.0819495545761655</v>
      </c>
      <c r="E28" s="33" t="n">
        <f aca="false">D28*(1-J20)</f>
        <v>0.0610455658624692</v>
      </c>
      <c r="F28" s="33" t="n">
        <f aca="false">E28*(1-J19)</f>
        <v>0.0548249388026059</v>
      </c>
      <c r="G28" s="17" t="n">
        <f aca="false">Inputs!C21</f>
        <v>10</v>
      </c>
      <c r="H28" s="35" t="n">
        <f aca="false">F28*$C$15</f>
        <v>413.7101875</v>
      </c>
      <c r="I28" s="44" t="n">
        <f aca="false">IF(G28=0,0,H28/G28)</f>
        <v>41.37101875</v>
      </c>
      <c r="J28" s="40" t="n">
        <v>8</v>
      </c>
      <c r="K28" s="33" t="n">
        <f aca="false">IF(G28=0,0,I28^(1/J28)-1)</f>
        <v>0.592527816796571</v>
      </c>
    </row>
    <row r="29" customFormat="false" ht="15" hidden="false" customHeight="false" outlineLevel="0" collapsed="false">
      <c r="B29" s="7" t="s">
        <v>316</v>
      </c>
      <c r="C29" s="25" t="n">
        <v>0</v>
      </c>
      <c r="D29" s="33" t="n">
        <f aca="false">J21</f>
        <v>0.180504454238345</v>
      </c>
      <c r="E29" s="33" t="n">
        <f aca="false">D29*(1-J20)</f>
        <v>0.134460725340913</v>
      </c>
      <c r="F29" s="33" t="n">
        <f aca="false">E29*(1-J19)</f>
        <v>0.120758992631465</v>
      </c>
      <c r="G29" s="17" t="n">
        <f aca="false">Inputs!F25</f>
        <v>120</v>
      </c>
      <c r="H29" s="35" t="n">
        <f aca="false">F29*$C$15</f>
        <v>911.25</v>
      </c>
      <c r="I29" s="44" t="n">
        <f aca="false">IF(G29=0,0,H29/G29)</f>
        <v>7.59375</v>
      </c>
      <c r="J29" s="40" t="n">
        <v>5</v>
      </c>
      <c r="K29" s="33" t="n">
        <f aca="false">IF(G29=0,0,I29^(1/J29)-1)</f>
        <v>0.5</v>
      </c>
    </row>
    <row r="30" customFormat="false" ht="15" hidden="false" customHeight="false" outlineLevel="0" collapsed="false">
      <c r="B30" s="7" t="s">
        <v>331</v>
      </c>
      <c r="C30" s="33" t="n">
        <v>0</v>
      </c>
      <c r="D30" s="33" t="n">
        <f aca="false">C30*(1-J21)</f>
        <v>0</v>
      </c>
      <c r="E30" s="33" t="n">
        <f aca="false">J20</f>
        <v>0.255083616034395</v>
      </c>
      <c r="F30" s="33" t="n">
        <f aca="false">E30*(1-J19)</f>
        <v>0.229090244984216</v>
      </c>
      <c r="G30" s="17" t="n">
        <f aca="false">Inputs!G26</f>
        <v>450</v>
      </c>
      <c r="H30" s="35" t="n">
        <f aca="false">F30*$C$15</f>
        <v>1728.72</v>
      </c>
      <c r="I30" s="44" t="n">
        <f aca="false">IF(G30=0,0,H30/G30)</f>
        <v>3.8416</v>
      </c>
      <c r="J30" s="40" t="n">
        <v>4</v>
      </c>
      <c r="K30" s="33" t="n">
        <f aca="false">IF(G30=0,0,I30^(1/J30)-1)</f>
        <v>0.4</v>
      </c>
    </row>
    <row r="31" customFormat="false" ht="15" hidden="false" customHeight="false" outlineLevel="0" collapsed="false">
      <c r="B31" s="7" t="s">
        <v>332</v>
      </c>
      <c r="C31" s="33" t="n">
        <v>0</v>
      </c>
      <c r="D31" s="33" t="n">
        <f aca="false">C31*(1-J21)</f>
        <v>0</v>
      </c>
      <c r="E31" s="33" t="n">
        <f aca="false">D31*(1-J20)</f>
        <v>0</v>
      </c>
      <c r="F31" s="33" t="n">
        <f aca="false">J19</f>
        <v>0.101901374358261</v>
      </c>
      <c r="G31" s="17" t="n">
        <f aca="false">Inputs!H27</f>
        <v>350</v>
      </c>
      <c r="H31" s="35" t="n">
        <f aca="false">F31*$C$15</f>
        <v>768.95</v>
      </c>
      <c r="I31" s="44" t="n">
        <f aca="false">IF(G31=0,0,H31/G31)</f>
        <v>2.197</v>
      </c>
      <c r="J31" s="40" t="n">
        <v>3</v>
      </c>
      <c r="K31" s="33" t="n">
        <f aca="false">IF(G31=0,0,I31^(1/J31)-1)</f>
        <v>0.3</v>
      </c>
    </row>
    <row r="32" customFormat="false" ht="15" hidden="false" customHeight="false" outlineLevel="0" collapsed="false">
      <c r="B32" s="7" t="s">
        <v>333</v>
      </c>
      <c r="C32" s="46" t="n">
        <f aca="false">SUM(C27:C31)</f>
        <v>1</v>
      </c>
      <c r="D32" s="46" t="n">
        <f aca="false">SUM(D27:D31)</f>
        <v>1</v>
      </c>
      <c r="E32" s="46" t="n">
        <f aca="false">SUM(E27:E31)</f>
        <v>1</v>
      </c>
      <c r="F32" s="46" t="n">
        <f aca="false">SUM(F27:F31)</f>
        <v>1</v>
      </c>
      <c r="G32" s="34" t="n">
        <f aca="false">SUM(G27:G31)</f>
        <v>955</v>
      </c>
      <c r="H32" s="34" t="n">
        <f aca="false">SUM(H27:H31)</f>
        <v>7546.021875</v>
      </c>
    </row>
    <row r="34" customFormat="false" ht="45" hidden="false" customHeight="true" outlineLevel="0" collapsed="false">
      <c r="B34" s="38" t="s">
        <v>334</v>
      </c>
      <c r="C34" s="38"/>
      <c r="D34" s="38"/>
      <c r="E34" s="38"/>
      <c r="F34" s="38"/>
      <c r="G34" s="38"/>
      <c r="H34" s="38"/>
      <c r="I34" s="38"/>
      <c r="J34" s="38"/>
      <c r="K34" s="38"/>
    </row>
  </sheetData>
  <mergeCells count="3">
    <mergeCell ref="D15:K15"/>
    <mergeCell ref="B23:K23"/>
    <mergeCell ref="B34:K3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96784"/>
    <pageSetUpPr fitToPage="true"/>
  </sheetPr>
  <dimension ref="B1:K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10" min="3" style="0" width="11"/>
    <col collapsed="false" customWidth="true" hidden="false" outlineLevel="0" max="11" min="11" style="0" width="60"/>
  </cols>
  <sheetData>
    <row r="1" customFormat="false" ht="19.7" hidden="false" customHeight="false" outlineLevel="0" collapsed="false">
      <c r="B1" s="12" t="s">
        <v>335</v>
      </c>
    </row>
    <row r="2" customFormat="false" ht="15" hidden="false" customHeight="false" outlineLevel="0" collapsed="false">
      <c r="B2" s="2" t="s">
        <v>336</v>
      </c>
    </row>
    <row r="4" customFormat="false" ht="15" hidden="false" customHeight="false" outlineLevel="0" collapsed="false">
      <c r="B4" s="22" t="s">
        <v>134</v>
      </c>
      <c r="C4" s="16" t="s">
        <v>51</v>
      </c>
      <c r="D4" s="16" t="s">
        <v>79</v>
      </c>
      <c r="E4" s="16" t="s">
        <v>90</v>
      </c>
      <c r="F4" s="16" t="s">
        <v>101</v>
      </c>
      <c r="G4" s="16" t="s">
        <v>112</v>
      </c>
      <c r="H4" s="16" t="s">
        <v>123</v>
      </c>
      <c r="I4" s="16" t="s">
        <v>124</v>
      </c>
      <c r="J4" s="16" t="s">
        <v>125</v>
      </c>
      <c r="K4" s="22" t="s">
        <v>135</v>
      </c>
    </row>
    <row r="5" customFormat="false" ht="15" hidden="false" customHeight="false" outlineLevel="0" collapsed="false">
      <c r="B5" s="13" t="s">
        <v>337</v>
      </c>
      <c r="C5" s="14"/>
      <c r="D5" s="14"/>
      <c r="E5" s="14"/>
      <c r="F5" s="14"/>
      <c r="G5" s="14"/>
      <c r="H5" s="14"/>
      <c r="I5" s="14"/>
      <c r="J5" s="14"/>
      <c r="K5" s="14"/>
    </row>
    <row r="6" customFormat="false" ht="15" hidden="false" customHeight="false" outlineLevel="0" collapsed="false">
      <c r="B6" s="8" t="s">
        <v>338</v>
      </c>
      <c r="C6" s="17" t="n">
        <f aca="false">1_Rev_Profit_Cash!C21</f>
        <v>-4.40000000000001</v>
      </c>
      <c r="D6" s="17" t="n">
        <f aca="false">1_Rev_Profit_Cash!D21</f>
        <v>0.0937499999999923</v>
      </c>
      <c r="E6" s="17" t="n">
        <f aca="false">1_Rev_Profit_Cash!E21</f>
        <v>6.48937500000002</v>
      </c>
      <c r="F6" s="17" t="n">
        <f aca="false">1_Rev_Profit_Cash!F21</f>
        <v>27.06375</v>
      </c>
      <c r="G6" s="17" t="n">
        <f aca="false">1_Rev_Profit_Cash!G21</f>
        <v>66.42375</v>
      </c>
      <c r="H6" s="17" t="n">
        <f aca="false">1_Rev_Profit_Cash!H21</f>
        <v>194.495625</v>
      </c>
      <c r="I6" s="17" t="n">
        <f aca="false">1_Rev_Profit_Cash!I21</f>
        <v>338.308125</v>
      </c>
      <c r="J6" s="17" t="n">
        <f aca="false">1_Rev_Profit_Cash!J21</f>
        <v>503.068125</v>
      </c>
    </row>
    <row r="7" customFormat="false" ht="15" hidden="false" customHeight="false" outlineLevel="0" collapsed="false">
      <c r="B7" s="8" t="s">
        <v>339</v>
      </c>
      <c r="C7" s="17" t="n">
        <f aca="false">Inputs!$C$40-Inputs!C32</f>
        <v>12</v>
      </c>
      <c r="D7" s="17" t="n">
        <f aca="false">Inputs!$C$40-Inputs!D32</f>
        <v>9</v>
      </c>
      <c r="E7" s="17" t="n">
        <f aca="false">Inputs!$C$40-Inputs!E32</f>
        <v>6</v>
      </c>
      <c r="F7" s="17" t="n">
        <f aca="false">Inputs!$C$40-Inputs!F32</f>
        <v>0</v>
      </c>
      <c r="G7" s="17" t="n">
        <f aca="false">Inputs!$C$40-Inputs!G32</f>
        <v>0</v>
      </c>
      <c r="H7" s="17" t="n">
        <f aca="false">Inputs!$C$40-Inputs!H32</f>
        <v>0</v>
      </c>
      <c r="I7" s="17" t="n">
        <f aca="false">Inputs!$C$40-Inputs!I32</f>
        <v>0</v>
      </c>
      <c r="J7" s="17" t="n">
        <f aca="false">Inputs!$C$40-Inputs!J32</f>
        <v>0</v>
      </c>
      <c r="K7" s="24" t="s">
        <v>340</v>
      </c>
    </row>
    <row r="8" customFormat="false" ht="15" hidden="false" customHeight="false" outlineLevel="0" collapsed="false">
      <c r="B8" s="8" t="s">
        <v>341</v>
      </c>
      <c r="C8" s="17" t="n">
        <f aca="false">Inputs!C20*Inputs!$C$41</f>
        <v>1.75</v>
      </c>
      <c r="D8" s="17" t="n">
        <f aca="false">Inputs!C20*Inputs!$C$41</f>
        <v>1.75</v>
      </c>
      <c r="E8" s="17" t="n">
        <f aca="false">Inputs!C20*Inputs!$C$41</f>
        <v>1.75</v>
      </c>
      <c r="F8" s="17" t="n">
        <f aca="false">Inputs!C20*Inputs!$C$41</f>
        <v>1.75</v>
      </c>
      <c r="G8" s="17" t="n">
        <f aca="false">Inputs!C20*Inputs!$C$41</f>
        <v>1.75</v>
      </c>
      <c r="H8" s="17" t="n">
        <f aca="false">Inputs!C20*Inputs!$C$41</f>
        <v>1.75</v>
      </c>
      <c r="I8" s="17" t="n">
        <f aca="false">Inputs!C20*Inputs!$C$41</f>
        <v>1.75</v>
      </c>
      <c r="J8" s="17" t="n">
        <f aca="false">Inputs!C20*Inputs!$C$41</f>
        <v>1.75</v>
      </c>
    </row>
    <row r="9" customFormat="false" ht="15" hidden="false" customHeight="false" outlineLevel="0" collapsed="false">
      <c r="B9" s="7" t="s">
        <v>342</v>
      </c>
      <c r="C9" s="34" t="n">
        <f aca="false">C7+C8</f>
        <v>13.75</v>
      </c>
      <c r="D9" s="34" t="n">
        <f aca="false">D7+D8</f>
        <v>10.75</v>
      </c>
      <c r="E9" s="34" t="n">
        <f aca="false">E7+E8</f>
        <v>7.75</v>
      </c>
      <c r="F9" s="34" t="n">
        <f aca="false">F7+F8</f>
        <v>1.75</v>
      </c>
      <c r="G9" s="34" t="n">
        <f aca="false">G7+G8</f>
        <v>1.75</v>
      </c>
      <c r="H9" s="34" t="n">
        <f aca="false">H7+H8</f>
        <v>1.75</v>
      </c>
      <c r="I9" s="34" t="n">
        <f aca="false">I7+I8</f>
        <v>1.75</v>
      </c>
      <c r="J9" s="34" t="n">
        <f aca="false">J7+J8</f>
        <v>1.75</v>
      </c>
    </row>
    <row r="10" customFormat="false" ht="15" hidden="false" customHeight="false" outlineLevel="0" collapsed="false">
      <c r="B10" s="7" t="s">
        <v>343</v>
      </c>
      <c r="C10" s="36" t="n">
        <f aca="false">C6-C9</f>
        <v>-18.15</v>
      </c>
      <c r="D10" s="36" t="n">
        <f aca="false">D6-D9</f>
        <v>-10.65625</v>
      </c>
      <c r="E10" s="36" t="n">
        <f aca="false">E6-E9</f>
        <v>-1.26062499999998</v>
      </c>
      <c r="F10" s="36" t="n">
        <f aca="false">F6-F9</f>
        <v>25.31375</v>
      </c>
      <c r="G10" s="36" t="n">
        <f aca="false">G6-G9</f>
        <v>64.67375</v>
      </c>
      <c r="H10" s="36" t="n">
        <f aca="false">H6-H9</f>
        <v>192.745625</v>
      </c>
      <c r="I10" s="36" t="n">
        <f aca="false">I6-I9</f>
        <v>336.558125</v>
      </c>
      <c r="J10" s="36" t="n">
        <f aca="false">J6-J9</f>
        <v>501.318125</v>
      </c>
      <c r="K10" s="24" t="s">
        <v>344</v>
      </c>
    </row>
    <row r="11" customFormat="false" ht="15" hidden="false" customHeight="false" outlineLevel="0" collapsed="false">
      <c r="B11" s="8" t="s">
        <v>345</v>
      </c>
      <c r="C11" s="35" t="n">
        <f aca="false">C10</f>
        <v>-18.15</v>
      </c>
      <c r="D11" s="35" t="n">
        <f aca="false">C11+D10</f>
        <v>-28.80625</v>
      </c>
      <c r="E11" s="35" t="n">
        <f aca="false">D11+E10</f>
        <v>-30.066875</v>
      </c>
      <c r="F11" s="35" t="n">
        <f aca="false">E11+F10</f>
        <v>-4.75312499999998</v>
      </c>
      <c r="G11" s="35" t="n">
        <f aca="false">F11+G10</f>
        <v>59.920625</v>
      </c>
      <c r="H11" s="35" t="n">
        <f aca="false">G11+H10</f>
        <v>252.66625</v>
      </c>
      <c r="I11" s="35" t="n">
        <f aca="false">H11+I10</f>
        <v>589.224375</v>
      </c>
      <c r="J11" s="35" t="n">
        <f aca="false">I11+J10</f>
        <v>1090.5425</v>
      </c>
    </row>
    <row r="13" customFormat="false" ht="15" hidden="false" customHeight="false" outlineLevel="0" collapsed="false">
      <c r="B13" s="13" t="s">
        <v>346</v>
      </c>
      <c r="C13" s="14"/>
      <c r="D13" s="14"/>
      <c r="E13" s="14"/>
      <c r="F13" s="14"/>
      <c r="G13" s="14"/>
      <c r="H13" s="14"/>
      <c r="I13" s="14"/>
      <c r="J13" s="14"/>
      <c r="K13" s="14"/>
    </row>
    <row r="14" customFormat="false" ht="15" hidden="false" customHeight="false" outlineLevel="0" collapsed="false">
      <c r="B14" s="8" t="s">
        <v>347</v>
      </c>
      <c r="C14" s="17" t="n">
        <f aca="false">1_Rev_Profit_Cash!C16</f>
        <v>0</v>
      </c>
      <c r="D14" s="17" t="n">
        <f aca="false">1_Rev_Profit_Cash!D16</f>
        <v>30</v>
      </c>
      <c r="E14" s="17" t="n">
        <f aca="false">1_Rev_Profit_Cash!E16</f>
        <v>69</v>
      </c>
      <c r="F14" s="17" t="n">
        <f aca="false">1_Rev_Profit_Cash!F16</f>
        <v>117</v>
      </c>
      <c r="G14" s="17" t="n">
        <f aca="false">1_Rev_Profit_Cash!G16</f>
        <v>97</v>
      </c>
      <c r="H14" s="17" t="n">
        <f aca="false">1_Rev_Profit_Cash!H16</f>
        <v>72</v>
      </c>
      <c r="I14" s="17" t="n">
        <f aca="false">1_Rev_Profit_Cash!I16</f>
        <v>37</v>
      </c>
      <c r="J14" s="17" t="n">
        <f aca="false">1_Rev_Profit_Cash!J16</f>
        <v>0</v>
      </c>
    </row>
    <row r="15" customFormat="false" ht="15" hidden="false" customHeight="false" outlineLevel="0" collapsed="false">
      <c r="B15" s="8" t="s">
        <v>348</v>
      </c>
      <c r="C15" s="17" t="n">
        <f aca="false">1_Rev_Profit_Cash!C17</f>
        <v>0</v>
      </c>
      <c r="D15" s="17" t="n">
        <f aca="false">1_Rev_Profit_Cash!D17</f>
        <v>40</v>
      </c>
      <c r="E15" s="17" t="n">
        <f aca="false">1_Rev_Profit_Cash!E17</f>
        <v>110</v>
      </c>
      <c r="F15" s="17" t="n">
        <f aca="false">1_Rev_Profit_Cash!F17</f>
        <v>160</v>
      </c>
      <c r="G15" s="17" t="n">
        <f aca="false">1_Rev_Profit_Cash!G17</f>
        <v>220</v>
      </c>
      <c r="H15" s="17" t="n">
        <f aca="false">1_Rev_Profit_Cash!H17</f>
        <v>280</v>
      </c>
      <c r="I15" s="17" t="n">
        <f aca="false">1_Rev_Profit_Cash!I17</f>
        <v>300</v>
      </c>
      <c r="J15" s="17" t="n">
        <f aca="false">1_Rev_Profit_Cash!J17</f>
        <v>300</v>
      </c>
    </row>
    <row r="16" customFormat="false" ht="15" hidden="false" customHeight="false" outlineLevel="0" collapsed="false">
      <c r="B16" s="8" t="s">
        <v>349</v>
      </c>
      <c r="C16" s="18" t="n">
        <f aca="false">IF(C14+C15=0,Inputs!$C$38,(C14*Inputs!$C$37+C15*Inputs!$C$38)/(C14+C15))</f>
        <v>0.11</v>
      </c>
      <c r="D16" s="18" t="n">
        <f aca="false">IF(D14+D15=0,Inputs!$C$38,(D14*Inputs!$C$37+D15*Inputs!$C$38)/(D14+D15))</f>
        <v>0.107857142857143</v>
      </c>
      <c r="E16" s="18" t="n">
        <f aca="false">IF(E14+E15=0,Inputs!$C$38,(E14*Inputs!$C$37+E15*Inputs!$C$38)/(E14+E15))</f>
        <v>0.108072625698324</v>
      </c>
      <c r="F16" s="18" t="n">
        <f aca="false">IF(F14+F15=0,Inputs!$C$38,(F14*Inputs!$C$37+F15*Inputs!$C$38)/(F14+F15))</f>
        <v>0.107888086642599</v>
      </c>
      <c r="G16" s="18" t="n">
        <f aca="false">IF(G14+G15=0,Inputs!$C$38,(G14*Inputs!$C$37+G15*Inputs!$C$38)/(G14+G15))</f>
        <v>0.108470031545741</v>
      </c>
      <c r="H16" s="18" t="n">
        <f aca="false">IF(H14+H15=0,Inputs!$C$38,(H14*Inputs!$C$37+H15*Inputs!$C$38)/(H14+H15))</f>
        <v>0.108977272727273</v>
      </c>
      <c r="I16" s="18" t="n">
        <f aca="false">IF(I14+I15=0,Inputs!$C$38,(I14*Inputs!$C$37+I15*Inputs!$C$38)/(I14+I15))</f>
        <v>0.109451038575668</v>
      </c>
      <c r="J16" s="18" t="n">
        <f aca="false">IF(J14+J15=0,Inputs!$C$38,(J14*Inputs!$C$37+J15*Inputs!$C$38)/(J14+J15))</f>
        <v>0.11</v>
      </c>
    </row>
    <row r="17" customFormat="false" ht="15" hidden="false" customHeight="false" outlineLevel="0" collapsed="false">
      <c r="B17" s="8" t="s">
        <v>350</v>
      </c>
      <c r="C17" s="18" t="n">
        <f aca="false">C16*(1-Inputs!$C$35)</f>
        <v>0.0825</v>
      </c>
      <c r="D17" s="18" t="n">
        <f aca="false">D16*(1-Inputs!$C$35)</f>
        <v>0.0808928571428572</v>
      </c>
      <c r="E17" s="18" t="n">
        <f aca="false">E16*(1-Inputs!$C$35)</f>
        <v>0.081054469273743</v>
      </c>
      <c r="F17" s="18" t="n">
        <f aca="false">F16*(1-Inputs!$C$35)</f>
        <v>0.0809160649819495</v>
      </c>
      <c r="G17" s="18" t="n">
        <f aca="false">G16*(1-Inputs!$C$35)</f>
        <v>0.081352523659306</v>
      </c>
      <c r="H17" s="18" t="n">
        <f aca="false">H16*(1-Inputs!$C$35)</f>
        <v>0.0817329545454545</v>
      </c>
      <c r="I17" s="18" t="n">
        <f aca="false">I16*(1-Inputs!$C$35)</f>
        <v>0.0820882789317508</v>
      </c>
      <c r="J17" s="18" t="n">
        <f aca="false">J16*(1-Inputs!$C$35)</f>
        <v>0.0825</v>
      </c>
      <c r="K17" s="24" t="s">
        <v>351</v>
      </c>
    </row>
    <row r="19" customFormat="false" ht="15" hidden="false" customHeight="false" outlineLevel="0" collapsed="false">
      <c r="B19" s="13" t="s">
        <v>352</v>
      </c>
      <c r="C19" s="14"/>
      <c r="D19" s="14"/>
      <c r="E19" s="14"/>
      <c r="F19" s="14"/>
      <c r="G19" s="14"/>
      <c r="H19" s="14"/>
      <c r="I19" s="14"/>
      <c r="J19" s="14"/>
      <c r="K19" s="14"/>
    </row>
    <row r="20" customFormat="false" ht="15" hidden="false" customHeight="false" outlineLevel="0" collapsed="false">
      <c r="B20" s="8" t="s">
        <v>353</v>
      </c>
      <c r="C20" s="18" t="n">
        <f aca="false">Inputs!$C$43+Inputs!$C$45*Inputs!$C$44</f>
        <v>0.161</v>
      </c>
      <c r="D20" s="18" t="n">
        <f aca="false">Inputs!$C$43+Inputs!$C$45*Inputs!$C$44</f>
        <v>0.161</v>
      </c>
      <c r="E20" s="18" t="n">
        <f aca="false">Inputs!$C$43+Inputs!$C$45*Inputs!$C$44</f>
        <v>0.161</v>
      </c>
      <c r="F20" s="18" t="n">
        <f aca="false">Inputs!$C$43+Inputs!$C$45*Inputs!$C$44</f>
        <v>0.161</v>
      </c>
      <c r="G20" s="18" t="n">
        <f aca="false">Inputs!$C$43+Inputs!$C$45*Inputs!$C$44</f>
        <v>0.161</v>
      </c>
      <c r="H20" s="18" t="n">
        <f aca="false">Inputs!$C$43+Inputs!$C$45*Inputs!$C$44</f>
        <v>0.161</v>
      </c>
      <c r="I20" s="18" t="n">
        <f aca="false">Inputs!$C$43+Inputs!$C$45*Inputs!$C$44</f>
        <v>0.161</v>
      </c>
      <c r="J20" s="18" t="n">
        <f aca="false">Inputs!$C$43+Inputs!$C$45*Inputs!$C$44</f>
        <v>0.161</v>
      </c>
      <c r="K20" s="24" t="s">
        <v>354</v>
      </c>
    </row>
    <row r="21" customFormat="false" ht="15" hidden="false" customHeight="false" outlineLevel="0" collapsed="false">
      <c r="B21" s="8" t="s">
        <v>355</v>
      </c>
      <c r="C21" s="18" t="n">
        <f aca="false">Inputs!C30</f>
        <v>0.3</v>
      </c>
      <c r="D21" s="18" t="n">
        <f aca="false">Inputs!D30</f>
        <v>0.3</v>
      </c>
      <c r="E21" s="18" t="n">
        <f aca="false">Inputs!E30</f>
        <v>0.3</v>
      </c>
      <c r="F21" s="18" t="n">
        <f aca="false">Inputs!F30</f>
        <v>0.5</v>
      </c>
      <c r="G21" s="18" t="n">
        <f aca="false">Inputs!G30</f>
        <v>0.4</v>
      </c>
      <c r="H21" s="18" t="n">
        <f aca="false">Inputs!H30</f>
        <v>0.3</v>
      </c>
      <c r="I21" s="18" t="n">
        <f aca="false">Inputs!I30</f>
        <v>0.25</v>
      </c>
      <c r="J21" s="18" t="n">
        <f aca="false">Inputs!J30</f>
        <v>0.2</v>
      </c>
      <c r="K21" s="24" t="s">
        <v>356</v>
      </c>
    </row>
    <row r="22" customFormat="false" ht="15" hidden="false" customHeight="false" outlineLevel="0" collapsed="false">
      <c r="B22" s="8" t="s">
        <v>357</v>
      </c>
      <c r="C22" s="33" t="n">
        <f aca="false">C21-C20</f>
        <v>0.139</v>
      </c>
      <c r="D22" s="33" t="n">
        <f aca="false">D21-D20</f>
        <v>0.139</v>
      </c>
      <c r="E22" s="33" t="n">
        <f aca="false">E21-E20</f>
        <v>0.139</v>
      </c>
      <c r="F22" s="33" t="n">
        <f aca="false">F21-F20</f>
        <v>0.339</v>
      </c>
      <c r="G22" s="33" t="n">
        <f aca="false">G21-G20</f>
        <v>0.239</v>
      </c>
      <c r="H22" s="33" t="n">
        <f aca="false">H21-H20</f>
        <v>0.139</v>
      </c>
      <c r="I22" s="33" t="n">
        <f aca="false">I21-I20</f>
        <v>0.089</v>
      </c>
      <c r="J22" s="33" t="n">
        <f aca="false">J21-J20</f>
        <v>0.039</v>
      </c>
      <c r="K22" s="24" t="s">
        <v>358</v>
      </c>
    </row>
    <row r="24" customFormat="false" ht="15" hidden="false" customHeight="false" outlineLevel="0" collapsed="false">
      <c r="B24" s="13" t="s">
        <v>359</v>
      </c>
      <c r="C24" s="14"/>
      <c r="D24" s="14"/>
      <c r="E24" s="14"/>
      <c r="F24" s="14"/>
      <c r="G24" s="14"/>
      <c r="H24" s="14"/>
      <c r="I24" s="14"/>
      <c r="J24" s="14"/>
      <c r="K24" s="14"/>
    </row>
    <row r="25" customFormat="false" ht="15" hidden="false" customHeight="false" outlineLevel="0" collapsed="false">
      <c r="B25" s="8" t="s">
        <v>360</v>
      </c>
      <c r="C25" s="18" t="n">
        <f aca="false">Inputs!C31</f>
        <v>0</v>
      </c>
      <c r="D25" s="18" t="n">
        <f aca="false">Inputs!D31</f>
        <v>0.5</v>
      </c>
      <c r="E25" s="18" t="n">
        <f aca="false">Inputs!E31</f>
        <v>0.5</v>
      </c>
      <c r="F25" s="18" t="n">
        <f aca="false">Inputs!F31</f>
        <v>0.35</v>
      </c>
      <c r="G25" s="18" t="n">
        <f aca="false">Inputs!G31</f>
        <v>0.2</v>
      </c>
      <c r="H25" s="18" t="n">
        <f aca="false">Inputs!H31</f>
        <v>0.15</v>
      </c>
      <c r="I25" s="18" t="n">
        <f aca="false">Inputs!I31</f>
        <v>0.15</v>
      </c>
      <c r="J25" s="18" t="n">
        <f aca="false">Inputs!J31</f>
        <v>0.15</v>
      </c>
    </row>
    <row r="26" customFormat="false" ht="15" hidden="false" customHeight="false" outlineLevel="0" collapsed="false">
      <c r="B26" s="8" t="s">
        <v>361</v>
      </c>
      <c r="C26" s="33" t="n">
        <f aca="false">1-C25</f>
        <v>1</v>
      </c>
      <c r="D26" s="33" t="n">
        <f aca="false">1-D25</f>
        <v>0.5</v>
      </c>
      <c r="E26" s="33" t="n">
        <f aca="false">1-E25</f>
        <v>0.5</v>
      </c>
      <c r="F26" s="33" t="n">
        <f aca="false">1-F25</f>
        <v>0.65</v>
      </c>
      <c r="G26" s="33" t="n">
        <f aca="false">1-G25</f>
        <v>0.8</v>
      </c>
      <c r="H26" s="33" t="n">
        <f aca="false">1-H25</f>
        <v>0.85</v>
      </c>
      <c r="I26" s="33" t="n">
        <f aca="false">1-I25</f>
        <v>0.85</v>
      </c>
      <c r="J26" s="33" t="n">
        <f aca="false">1-J25</f>
        <v>0.85</v>
      </c>
    </row>
    <row r="27" customFormat="false" ht="15" hidden="false" customHeight="false" outlineLevel="0" collapsed="false">
      <c r="B27" s="7" t="s">
        <v>362</v>
      </c>
      <c r="C27" s="47" t="n">
        <f aca="false">C26*C21+C25*C17</f>
        <v>0.3</v>
      </c>
      <c r="D27" s="47" t="n">
        <f aca="false">D26*D21+D25*D17</f>
        <v>0.190446428571429</v>
      </c>
      <c r="E27" s="47" t="n">
        <f aca="false">E26*E21+E25*E17</f>
        <v>0.190527234636872</v>
      </c>
      <c r="F27" s="47" t="n">
        <f aca="false">F26*F21+F25*F17</f>
        <v>0.353320622743682</v>
      </c>
      <c r="G27" s="47" t="n">
        <f aca="false">G26*G21+G25*G17</f>
        <v>0.336270504731861</v>
      </c>
      <c r="H27" s="47" t="n">
        <f aca="false">H26*H21+H25*H17</f>
        <v>0.267259943181818</v>
      </c>
      <c r="I27" s="47" t="n">
        <f aca="false">I26*I21+I25*I17</f>
        <v>0.224813241839763</v>
      </c>
      <c r="J27" s="47" t="n">
        <f aca="false">J26*J21+J25*J17</f>
        <v>0.182375</v>
      </c>
    </row>
    <row r="29" customFormat="false" ht="79.5" hidden="false" customHeight="true" outlineLevel="0" collapsed="false">
      <c r="B29" s="38" t="s">
        <v>363</v>
      </c>
      <c r="C29" s="38"/>
      <c r="D29" s="38"/>
      <c r="E29" s="38"/>
      <c r="F29" s="38"/>
      <c r="G29" s="38"/>
      <c r="H29" s="38"/>
      <c r="I29" s="38"/>
      <c r="J29" s="38"/>
      <c r="K29" s="38"/>
    </row>
  </sheetData>
  <mergeCells count="1">
    <mergeCell ref="B29:K29"/>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96784"/>
    <pageSetUpPr fitToPage="true"/>
  </sheetPr>
  <dimension ref="B1:K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10" min="3" style="0" width="11"/>
    <col collapsed="false" customWidth="true" hidden="false" outlineLevel="0" max="11" min="11" style="0" width="60"/>
  </cols>
  <sheetData>
    <row r="1" customFormat="false" ht="19.7" hidden="false" customHeight="false" outlineLevel="0" collapsed="false">
      <c r="B1" s="12" t="s">
        <v>364</v>
      </c>
    </row>
    <row r="2" customFormat="false" ht="15" hidden="false" customHeight="false" outlineLevel="0" collapsed="false">
      <c r="B2" s="2" t="s">
        <v>365</v>
      </c>
    </row>
    <row r="4" customFormat="false" ht="61.5" hidden="false" customHeight="true" outlineLevel="0" collapsed="false">
      <c r="B4" s="21" t="s">
        <v>366</v>
      </c>
      <c r="C4" s="21"/>
      <c r="D4" s="21"/>
      <c r="E4" s="21"/>
      <c r="F4" s="21"/>
      <c r="G4" s="21"/>
      <c r="H4" s="21"/>
      <c r="I4" s="21"/>
      <c r="J4" s="21"/>
      <c r="K4" s="21"/>
    </row>
    <row r="6" customFormat="false" ht="15" hidden="false" customHeight="false" outlineLevel="0" collapsed="false">
      <c r="B6" s="13" t="s">
        <v>367</v>
      </c>
      <c r="C6" s="14"/>
      <c r="D6" s="14"/>
      <c r="E6" s="14"/>
      <c r="F6" s="14"/>
      <c r="G6" s="14"/>
      <c r="H6" s="14"/>
      <c r="I6" s="14"/>
      <c r="J6" s="14"/>
      <c r="K6" s="14"/>
    </row>
    <row r="7" customFormat="false" ht="15" hidden="false" customHeight="false" outlineLevel="0" collapsed="false">
      <c r="B7" s="16" t="s">
        <v>134</v>
      </c>
      <c r="C7" s="16" t="s">
        <v>112</v>
      </c>
      <c r="D7" s="16" t="s">
        <v>123</v>
      </c>
      <c r="E7" s="16" t="s">
        <v>124</v>
      </c>
      <c r="F7" s="16" t="s">
        <v>125</v>
      </c>
    </row>
    <row r="8" customFormat="false" ht="15" hidden="false" customHeight="false" outlineLevel="0" collapsed="false">
      <c r="B8" s="8" t="s">
        <v>59</v>
      </c>
      <c r="C8" s="17" t="n">
        <f aca="false">1_Rev_Profit_Cash!G29</f>
        <v>-419.798784246575</v>
      </c>
      <c r="D8" s="17" t="n">
        <f aca="false">1_Rev_Profit_Cash!H29</f>
        <v>-195.229135273972</v>
      </c>
      <c r="E8" s="17" t="n">
        <f aca="false">1_Rev_Profit_Cash!I29</f>
        <v>134.627885273973</v>
      </c>
      <c r="F8" s="17" t="n">
        <f aca="false">1_Rev_Profit_Cash!J29</f>
        <v>278.72158390411</v>
      </c>
    </row>
    <row r="9" customFormat="false" ht="15" hidden="false" customHeight="false" outlineLevel="0" collapsed="false">
      <c r="B9" s="8" t="s">
        <v>368</v>
      </c>
      <c r="C9" s="48" t="n">
        <v>1</v>
      </c>
      <c r="D9" s="48" t="n">
        <v>2</v>
      </c>
      <c r="E9" s="48" t="n">
        <v>3</v>
      </c>
      <c r="F9" s="48" t="n">
        <v>4</v>
      </c>
    </row>
    <row r="10" customFormat="false" ht="15" hidden="false" customHeight="false" outlineLevel="0" collapsed="false">
      <c r="B10" s="8" t="s">
        <v>369</v>
      </c>
      <c r="C10" s="49" t="n">
        <f aca="false">1/(1+Inputs!$C$52)^C9</f>
        <v>0.8</v>
      </c>
      <c r="D10" s="49" t="n">
        <f aca="false">1/(1+Inputs!$C$52)^D9</f>
        <v>0.64</v>
      </c>
      <c r="E10" s="49" t="n">
        <f aca="false">1/(1+Inputs!$C$52)^E9</f>
        <v>0.512</v>
      </c>
      <c r="F10" s="49" t="n">
        <f aca="false">1/(1+Inputs!$C$52)^F9</f>
        <v>0.4096</v>
      </c>
    </row>
    <row r="11" customFormat="false" ht="15" hidden="false" customHeight="false" outlineLevel="0" collapsed="false">
      <c r="B11" s="7" t="s">
        <v>370</v>
      </c>
      <c r="C11" s="50" t="n">
        <f aca="false">C8*C10</f>
        <v>-335.83902739726</v>
      </c>
      <c r="D11" s="50" t="n">
        <f aca="false">D8*D10</f>
        <v>-124.946646575342</v>
      </c>
      <c r="E11" s="50" t="n">
        <f aca="false">E8*E10</f>
        <v>68.929477260274</v>
      </c>
      <c r="F11" s="50" t="n">
        <f aca="false">F8*F10</f>
        <v>114.164360767123</v>
      </c>
    </row>
    <row r="13" customFormat="false" ht="15" hidden="false" customHeight="false" outlineLevel="0" collapsed="false">
      <c r="B13" s="8" t="s">
        <v>371</v>
      </c>
      <c r="C13" s="18" t="n">
        <f aca="false">Inputs!$C$52</f>
        <v>0.25</v>
      </c>
    </row>
    <row r="14" customFormat="false" ht="15" hidden="false" customHeight="false" outlineLevel="0" collapsed="false">
      <c r="B14" s="8" t="s">
        <v>372</v>
      </c>
      <c r="C14" s="41" t="n">
        <f aca="false">SUM(C11:F11)</f>
        <v>-277.691835945205</v>
      </c>
      <c r="D14" s="27" t="s">
        <v>373</v>
      </c>
      <c r="E14" s="27"/>
      <c r="F14" s="27"/>
      <c r="G14" s="27"/>
      <c r="H14" s="27"/>
      <c r="I14" s="27"/>
      <c r="J14" s="27"/>
      <c r="K14" s="27"/>
    </row>
    <row r="15" customFormat="false" ht="15" hidden="false" customHeight="false" outlineLevel="0" collapsed="false">
      <c r="B15" s="8" t="s">
        <v>374</v>
      </c>
      <c r="C15" s="17" t="n">
        <f aca="false">F8*(1+Inputs!$C$50)/(Inputs!$C$51-Inputs!$C$50)</f>
        <v>3693.06098672945</v>
      </c>
      <c r="D15" s="27" t="s">
        <v>375</v>
      </c>
      <c r="E15" s="27"/>
      <c r="F15" s="27"/>
      <c r="G15" s="27"/>
      <c r="H15" s="27"/>
      <c r="I15" s="27"/>
      <c r="J15" s="27"/>
      <c r="K15" s="27"/>
    </row>
    <row r="16" customFormat="false" ht="15" hidden="false" customHeight="false" outlineLevel="0" collapsed="false">
      <c r="B16" s="8" t="s">
        <v>376</v>
      </c>
      <c r="C16" s="41" t="n">
        <f aca="false">C15*F10</f>
        <v>1512.67778016438</v>
      </c>
    </row>
    <row r="17" customFormat="false" ht="15" hidden="false" customHeight="false" outlineLevel="0" collapsed="false">
      <c r="B17" s="8" t="s">
        <v>377</v>
      </c>
      <c r="C17" s="36" t="n">
        <f aca="false">C14+C16</f>
        <v>1234.98594421918</v>
      </c>
      <c r="D17" s="27" t="s">
        <v>378</v>
      </c>
      <c r="E17" s="27"/>
      <c r="F17" s="27"/>
      <c r="G17" s="27"/>
      <c r="H17" s="27"/>
      <c r="I17" s="27"/>
      <c r="J17" s="27"/>
      <c r="K17" s="27"/>
    </row>
    <row r="18" customFormat="false" ht="15" hidden="false" customHeight="false" outlineLevel="0" collapsed="false">
      <c r="B18" s="8" t="s">
        <v>379</v>
      </c>
      <c r="C18" s="17" t="n">
        <f aca="false">1_Rev_Profit_Cash!F42</f>
        <v>54.3441352739726</v>
      </c>
    </row>
    <row r="19" customFormat="false" ht="15" hidden="false" customHeight="false" outlineLevel="0" collapsed="false">
      <c r="B19" s="8" t="s">
        <v>380</v>
      </c>
      <c r="C19" s="17" t="n">
        <f aca="false">-(1_Rev_Profit_Cash!F16+1_Rev_Profit_Cash!F17)</f>
        <v>-277</v>
      </c>
    </row>
    <row r="20" customFormat="false" ht="15" hidden="false" customHeight="false" outlineLevel="0" collapsed="false">
      <c r="B20" s="8" t="s">
        <v>381</v>
      </c>
      <c r="C20" s="51" t="n">
        <f aca="false">SUM(C17:C19)</f>
        <v>1012.33007949315</v>
      </c>
    </row>
    <row r="21" customFormat="false" ht="15" hidden="false" customHeight="false" outlineLevel="0" collapsed="false">
      <c r="B21" s="8" t="s">
        <v>382</v>
      </c>
      <c r="C21" s="17" t="n">
        <f aca="false">3_Equity_Raise!L20</f>
        <v>1314.1274143586</v>
      </c>
      <c r="D21" s="27" t="s">
        <v>383</v>
      </c>
      <c r="E21" s="27"/>
      <c r="F21" s="27"/>
      <c r="G21" s="27"/>
      <c r="H21" s="27"/>
      <c r="I21" s="27"/>
      <c r="J21" s="27"/>
      <c r="K21" s="27"/>
    </row>
    <row r="22" customFormat="false" ht="15" hidden="false" customHeight="false" outlineLevel="0" collapsed="false">
      <c r="B22" s="8" t="s">
        <v>384</v>
      </c>
      <c r="C22" s="52" t="n">
        <f aca="false">IF(C17=0,0,C16/C17)</f>
        <v>1.22485424813541</v>
      </c>
      <c r="D22" s="27" t="s">
        <v>385</v>
      </c>
      <c r="E22" s="27"/>
      <c r="F22" s="27"/>
      <c r="G22" s="27"/>
      <c r="H22" s="27"/>
      <c r="I22" s="27"/>
      <c r="J22" s="27"/>
      <c r="K22" s="27"/>
    </row>
    <row r="24" customFormat="false" ht="15" hidden="false" customHeight="false" outlineLevel="0" collapsed="false">
      <c r="B24" s="13" t="s">
        <v>386</v>
      </c>
      <c r="C24" s="14"/>
      <c r="D24" s="14"/>
      <c r="E24" s="14"/>
      <c r="F24" s="14"/>
      <c r="G24" s="14"/>
      <c r="H24" s="14"/>
      <c r="I24" s="14"/>
      <c r="J24" s="14"/>
      <c r="K24" s="14"/>
    </row>
    <row r="25" customFormat="false" ht="15" hidden="false" customHeight="false" outlineLevel="0" collapsed="false">
      <c r="B25" s="4" t="s">
        <v>387</v>
      </c>
      <c r="C25" s="53" t="n">
        <v>0.04</v>
      </c>
      <c r="D25" s="53" t="n">
        <v>0.05</v>
      </c>
      <c r="E25" s="53" t="n">
        <v>0.06</v>
      </c>
      <c r="F25" s="53" t="n">
        <v>0.07</v>
      </c>
      <c r="G25" s="53" t="n">
        <v>0.08</v>
      </c>
    </row>
    <row r="26" customFormat="false" ht="15" hidden="false" customHeight="false" outlineLevel="0" collapsed="false">
      <c r="B26" s="53" t="n">
        <v>0.15</v>
      </c>
      <c r="C26" s="54" t="n">
        <f aca="false">SUMPRODUCT($C$8:$F$8,1/(1+$B26)^$C$9:$F$9)+$F$8*(1+C$25)/(Inputs!$C$51-C$25)/(1+$B26)^4</f>
        <v>1392.55998495207</v>
      </c>
      <c r="D26" s="54" t="n">
        <f aca="false">SUMPRODUCT($C$8:$F$8,1/(1+$B26)^$C$9:$F$9)+$F$8*(1+D$25)/(Inputs!$C$51-D$25)/(1+$B26)^4</f>
        <v>1594.41594722315</v>
      </c>
      <c r="E26" s="54" t="n">
        <f aca="false">SUMPRODUCT($C$8:$F$8,1/(1+$B26)^$C$9:$F$9)+$F$8*(1+E$25)/(Inputs!$C$51-E$25)/(1+$B26)^4</f>
        <v>1846.73590006199</v>
      </c>
      <c r="F26" s="54" t="n">
        <f aca="false">SUMPRODUCT($C$8:$F$8,1/(1+$B26)^$C$9:$F$9)+$F$8*(1+F$25)/(Inputs!$C$51-F$25)/(1+$B26)^4</f>
        <v>2171.14726799764</v>
      </c>
      <c r="G26" s="54" t="n">
        <f aca="false">SUMPRODUCT($C$8:$F$8,1/(1+$B26)^$C$9:$F$9)+$F$8*(1+G$25)/(Inputs!$C$51-G$25)/(1+$B26)^4</f>
        <v>2603.69575857851</v>
      </c>
    </row>
    <row r="27" customFormat="false" ht="15" hidden="false" customHeight="false" outlineLevel="0" collapsed="false">
      <c r="B27" s="53" t="n">
        <v>0.2</v>
      </c>
      <c r="C27" s="54" t="n">
        <f aca="false">SUMPRODUCT($C$8:$F$8,1/(1+$B27)^$C$9:$F$9)+$F$8*(1+C$25)/(Inputs!$C$51-C$25)/(1+$B27)^4</f>
        <v>1124.82506986064</v>
      </c>
      <c r="D27" s="54" t="n">
        <f aca="false">SUMPRODUCT($C$8:$F$8,1/(1+$B27)^$C$9:$F$9)+$F$8*(1+D$25)/(Inputs!$C$51-D$25)/(1+$B27)^4</f>
        <v>1295.08323904074</v>
      </c>
      <c r="E27" s="54" t="n">
        <f aca="false">SUMPRODUCT($C$8:$F$8,1/(1+$B27)^$C$9:$F$9)+$F$8*(1+E$25)/(Inputs!$C$51-E$25)/(1+$B27)^4</f>
        <v>1507.90595051588</v>
      </c>
      <c r="F27" s="54" t="n">
        <f aca="false">SUMPRODUCT($C$8:$F$8,1/(1+$B27)^$C$9:$F$9)+$F$8*(1+F$25)/(Inputs!$C$51-F$25)/(1+$B27)^4</f>
        <v>1781.53515098391</v>
      </c>
      <c r="G27" s="54" t="n">
        <f aca="false">SUMPRODUCT($C$8:$F$8,1/(1+$B27)^$C$9:$F$9)+$F$8*(1+G$25)/(Inputs!$C$51-G$25)/(1+$B27)^4</f>
        <v>2146.37408494128</v>
      </c>
    </row>
    <row r="28" customFormat="false" ht="15" hidden="false" customHeight="false" outlineLevel="0" collapsed="false">
      <c r="B28" s="53" t="n">
        <v>0.25</v>
      </c>
      <c r="C28" s="54" t="n">
        <f aca="false">SUMPRODUCT($C$8:$F$8,1/(1+$B28)^$C$9:$F$9)+$F$8*(1+C$25)/(Inputs!$C$51-C$25)/(1+$B28)^4</f>
        <v>909.617516032877</v>
      </c>
      <c r="D28" s="54" t="n">
        <f aca="false">SUMPRODUCT($C$8:$F$8,1/(1+$B28)^$C$9:$F$9)+$F$8*(1+D$25)/(Inputs!$C$51-D$25)/(1+$B28)^4</f>
        <v>1054.2257063379</v>
      </c>
      <c r="E28" s="54" t="n">
        <f aca="false">SUMPRODUCT($C$8:$F$8,1/(1+$B28)^$C$9:$F$9)+$F$8*(1+E$25)/(Inputs!$C$51-E$25)/(1+$B28)^4</f>
        <v>1234.98594421918</v>
      </c>
      <c r="F28" s="54" t="n">
        <f aca="false">SUMPRODUCT($C$8:$F$8,1/(1+$B28)^$C$9:$F$9)+$F$8*(1+F$25)/(Inputs!$C$51-F$25)/(1+$B28)^4</f>
        <v>1467.39196435225</v>
      </c>
      <c r="G28" s="54" t="n">
        <f aca="false">SUMPRODUCT($C$8:$F$8,1/(1+$B28)^$C$9:$F$9)+$F$8*(1+G$25)/(Inputs!$C$51-G$25)/(1+$B28)^4</f>
        <v>1777.26665786301</v>
      </c>
    </row>
    <row r="29" customFormat="false" ht="15" hidden="false" customHeight="false" outlineLevel="0" collapsed="false">
      <c r="B29" s="53" t="n">
        <v>0.3</v>
      </c>
      <c r="C29" s="54" t="n">
        <f aca="false">SUMPRODUCT($C$8:$F$8,1/(1+$B29)^$C$9:$F$9)+$F$8*(1+C$25)/(Inputs!$C$51-C$25)/(1+$B29)^4</f>
        <v>735.340898343992</v>
      </c>
      <c r="D29" s="54" t="n">
        <f aca="false">SUMPRODUCT($C$8:$F$8,1/(1+$B29)^$C$9:$F$9)+$F$8*(1+D$25)/(Inputs!$C$51-D$25)/(1+$B29)^4</f>
        <v>858.952585473949</v>
      </c>
      <c r="E29" s="54" t="n">
        <f aca="false">SUMPRODUCT($C$8:$F$8,1/(1+$B29)^$C$9:$F$9)+$F$8*(1+E$25)/(Inputs!$C$51-E$25)/(1+$B29)^4</f>
        <v>1013.4671943864</v>
      </c>
      <c r="F29" s="54" t="n">
        <f aca="false">SUMPRODUCT($C$8:$F$8,1/(1+$B29)^$C$9:$F$9)+$F$8*(1+F$25)/(Inputs!$C$51-F$25)/(1+$B29)^4</f>
        <v>1212.12883441669</v>
      </c>
      <c r="G29" s="54" t="n">
        <f aca="false">SUMPRODUCT($C$8:$F$8,1/(1+$B29)^$C$9:$F$9)+$F$8*(1+G$25)/(Inputs!$C$51-G$25)/(1+$B29)^4</f>
        <v>1477.01102112374</v>
      </c>
    </row>
    <row r="30" customFormat="false" ht="15" hidden="false" customHeight="false" outlineLevel="0" collapsed="false">
      <c r="B30" s="53" t="n">
        <v>0.35</v>
      </c>
      <c r="C30" s="54" t="n">
        <f aca="false">SUMPRODUCT($C$8:$F$8,1/(1+$B30)^$C$9:$F$9)+$F$8*(1+C$25)/(Inputs!$C$51-C$25)/(1+$B30)^4</f>
        <v>593.256799922996</v>
      </c>
      <c r="D30" s="54" t="n">
        <f aca="false">SUMPRODUCT($C$8:$F$8,1/(1+$B30)^$C$9:$F$9)+$F$8*(1+D$25)/(Inputs!$C$51-D$25)/(1+$B30)^4</f>
        <v>699.548136756058</v>
      </c>
      <c r="E30" s="54" t="n">
        <f aca="false">SUMPRODUCT($C$8:$F$8,1/(1+$B30)^$C$9:$F$9)+$F$8*(1+E$25)/(Inputs!$C$51-E$25)/(1+$B30)^4</f>
        <v>832.412307797386</v>
      </c>
      <c r="F30" s="54" t="n">
        <f aca="false">SUMPRODUCT($C$8:$F$8,1/(1+$B30)^$C$9:$F$9)+$F$8*(1+F$25)/(Inputs!$C$51-F$25)/(1+$B30)^4</f>
        <v>1003.23767056481</v>
      </c>
      <c r="G30" s="54" t="n">
        <f aca="false">SUMPRODUCT($C$8:$F$8,1/(1+$B30)^$C$9:$F$9)+$F$8*(1+G$25)/(Inputs!$C$51-G$25)/(1+$B30)^4</f>
        <v>1231.00482092137</v>
      </c>
    </row>
    <row r="31" customFormat="false" ht="15" hidden="false" customHeight="false" outlineLevel="0" collapsed="false">
      <c r="B31" s="53" t="n">
        <v>0.4</v>
      </c>
      <c r="C31" s="54" t="n">
        <f aca="false">SUMPRODUCT($C$8:$F$8,1/(1+$B31)^$C$9:$F$9)+$F$8*(1+C$25)/(Inputs!$C$51-C$25)/(1+$B31)^4</f>
        <v>476.709737291968</v>
      </c>
      <c r="D31" s="54" t="n">
        <f aca="false">SUMPRODUCT($C$8:$F$8,1/(1+$B31)^$C$9:$F$9)+$F$8*(1+D$25)/(Inputs!$C$51-D$25)/(1+$B31)^4</f>
        <v>568.610856516216</v>
      </c>
      <c r="E31" s="54" t="n">
        <f aca="false">SUMPRODUCT($C$8:$F$8,1/(1+$B31)^$C$9:$F$9)+$F$8*(1+E$25)/(Inputs!$C$51-E$25)/(1+$B31)^4</f>
        <v>683.487255546526</v>
      </c>
      <c r="F31" s="54" t="n">
        <f aca="false">SUMPRODUCT($C$8:$F$8,1/(1+$B31)^$C$9:$F$9)+$F$8*(1+F$25)/(Inputs!$C$51-F$25)/(1+$B31)^4</f>
        <v>831.185482871211</v>
      </c>
      <c r="G31" s="54" t="n">
        <f aca="false">SUMPRODUCT($C$8:$F$8,1/(1+$B31)^$C$9:$F$9)+$F$8*(1+G$25)/(Inputs!$C$51-G$25)/(1+$B31)^4</f>
        <v>1028.11645263746</v>
      </c>
    </row>
    <row r="32" customFormat="false" ht="30" hidden="false" customHeight="true" outlineLevel="0" collapsed="false">
      <c r="B32" s="38" t="s">
        <v>388</v>
      </c>
      <c r="C32" s="38"/>
      <c r="D32" s="38"/>
      <c r="E32" s="38"/>
      <c r="F32" s="38"/>
      <c r="G32" s="38"/>
      <c r="H32" s="38"/>
      <c r="I32" s="38"/>
      <c r="J32" s="38"/>
      <c r="K32" s="38"/>
    </row>
    <row r="34" customFormat="false" ht="15" hidden="false" customHeight="false" outlineLevel="0" collapsed="false">
      <c r="B34" s="13" t="s">
        <v>389</v>
      </c>
      <c r="C34" s="14"/>
      <c r="D34" s="14"/>
      <c r="E34" s="14"/>
      <c r="F34" s="14"/>
      <c r="G34" s="14"/>
      <c r="H34" s="14"/>
      <c r="I34" s="14"/>
      <c r="J34" s="14"/>
      <c r="K34" s="14"/>
    </row>
    <row r="35" customFormat="false" ht="15" hidden="false" customHeight="false" outlineLevel="0" collapsed="false">
      <c r="B35" s="22" t="s">
        <v>134</v>
      </c>
      <c r="C35" s="16" t="s">
        <v>51</v>
      </c>
      <c r="D35" s="16" t="s">
        <v>79</v>
      </c>
      <c r="E35" s="16" t="s">
        <v>90</v>
      </c>
      <c r="F35" s="16" t="s">
        <v>101</v>
      </c>
      <c r="G35" s="16" t="s">
        <v>112</v>
      </c>
      <c r="H35" s="16" t="s">
        <v>123</v>
      </c>
      <c r="I35" s="16" t="s">
        <v>124</v>
      </c>
      <c r="J35" s="16" t="s">
        <v>125</v>
      </c>
      <c r="K35" s="22" t="s">
        <v>135</v>
      </c>
    </row>
    <row r="36" customFormat="false" ht="15" hidden="false" customHeight="false" outlineLevel="0" collapsed="false">
      <c r="B36" s="8" t="s">
        <v>390</v>
      </c>
      <c r="C36" s="17" t="n">
        <f aca="false">1_Rev_Profit_Cash!C15</f>
        <v>-4.40000000000001</v>
      </c>
      <c r="D36" s="17" t="n">
        <f aca="false">1_Rev_Profit_Cash!D15</f>
        <v>3.89999999999999</v>
      </c>
      <c r="E36" s="17" t="n">
        <f aca="false">1_Rev_Profit_Cash!E15</f>
        <v>22.1</v>
      </c>
      <c r="F36" s="17" t="n">
        <f aca="false">1_Rev_Profit_Cash!F15</f>
        <v>60.7</v>
      </c>
      <c r="G36" s="17" t="n">
        <f aca="false">1_Rev_Profit_Cash!G15</f>
        <v>120.7</v>
      </c>
      <c r="H36" s="17" t="n">
        <f aca="false">1_Rev_Profit_Cash!H15</f>
        <v>295.7</v>
      </c>
      <c r="I36" s="17" t="n">
        <f aca="false">1_Rev_Profit_Cash!I15</f>
        <v>488.7</v>
      </c>
      <c r="J36" s="17" t="n">
        <f aca="false">1_Rev_Profit_Cash!J15</f>
        <v>705.7</v>
      </c>
    </row>
    <row r="37" customFormat="false" ht="15" hidden="false" customHeight="false" outlineLevel="0" collapsed="false">
      <c r="B37" s="8" t="s">
        <v>391</v>
      </c>
      <c r="C37" s="17" t="n">
        <f aca="false">C36*(1-Inputs!$C$35)</f>
        <v>-3.3</v>
      </c>
      <c r="D37" s="17" t="n">
        <f aca="false">D36*(1-Inputs!$C$35)</f>
        <v>2.92499999999999</v>
      </c>
      <c r="E37" s="17" t="n">
        <f aca="false">E36*(1-Inputs!$C$35)</f>
        <v>16.575</v>
      </c>
      <c r="F37" s="17" t="n">
        <f aca="false">F36*(1-Inputs!$C$35)</f>
        <v>45.525</v>
      </c>
      <c r="G37" s="17" t="n">
        <f aca="false">G36*(1-Inputs!$C$35)</f>
        <v>90.525</v>
      </c>
      <c r="H37" s="17" t="n">
        <f aca="false">H36*(1-Inputs!$C$35)</f>
        <v>221.775</v>
      </c>
      <c r="I37" s="17" t="n">
        <f aca="false">I36*(1-Inputs!$C$35)</f>
        <v>366.525</v>
      </c>
      <c r="J37" s="17" t="n">
        <f aca="false">J36*(1-Inputs!$C$35)</f>
        <v>529.275</v>
      </c>
    </row>
    <row r="38" customFormat="false" ht="15" hidden="false" customHeight="false" outlineLevel="0" collapsed="false">
      <c r="B38" s="8" t="s">
        <v>392</v>
      </c>
      <c r="C38" s="17" t="n">
        <f aca="false">1_Rev_Profit_Cash!C13-SUM(1_Rev_Profit_Cash!$C14:C14)</f>
        <v>7.2</v>
      </c>
      <c r="D38" s="17" t="n">
        <f aca="false">1_Rev_Profit_Cash!D13-SUM(1_Rev_Profit_Cash!$C14:D14)</f>
        <v>28.9</v>
      </c>
      <c r="E38" s="17" t="n">
        <f aca="false">1_Rev_Profit_Cash!E13-SUM(1_Rev_Profit_Cash!$C14:E14)</f>
        <v>61.6</v>
      </c>
      <c r="F38" s="17" t="n">
        <f aca="false">1_Rev_Profit_Cash!F13-SUM(1_Rev_Profit_Cash!$C14:F14)</f>
        <v>162.3</v>
      </c>
      <c r="G38" s="17" t="n">
        <f aca="false">1_Rev_Profit_Cash!G13-SUM(1_Rev_Profit_Cash!$C14:G14)</f>
        <v>503</v>
      </c>
      <c r="H38" s="17" t="n">
        <f aca="false">1_Rev_Profit_Cash!H13-SUM(1_Rev_Profit_Cash!$C14:H14)</f>
        <v>758.7</v>
      </c>
      <c r="I38" s="17" t="n">
        <f aca="false">1_Rev_Profit_Cash!I13-SUM(1_Rev_Profit_Cash!$C14:I14)</f>
        <v>889.4</v>
      </c>
      <c r="J38" s="17" t="n">
        <f aca="false">1_Rev_Profit_Cash!J13-SUM(1_Rev_Profit_Cash!$C14:J14)</f>
        <v>995.1</v>
      </c>
    </row>
    <row r="39" customFormat="false" ht="15" hidden="false" customHeight="false" outlineLevel="0" collapsed="false">
      <c r="B39" s="8" t="s">
        <v>393</v>
      </c>
      <c r="C39" s="17" t="n">
        <f aca="false">2_Working_Capital!C24</f>
        <v>19.1753424657534</v>
      </c>
      <c r="D39" s="17" t="n">
        <f aca="false">2_Working_Capital!D24</f>
        <v>64.627397260274</v>
      </c>
      <c r="E39" s="17" t="n">
        <f aca="false">2_Working_Capital!E24</f>
        <v>142.915068493151</v>
      </c>
      <c r="F39" s="17" t="n">
        <f aca="false">2_Working_Capital!F24</f>
        <v>244.602739726027</v>
      </c>
      <c r="G39" s="17" t="n">
        <f aca="false">2_Working_Capital!G24</f>
        <v>422.260273972603</v>
      </c>
      <c r="H39" s="17" t="n">
        <f aca="false">2_Working_Capital!H24</f>
        <v>592.657534246575</v>
      </c>
      <c r="I39" s="17" t="n">
        <f aca="false">2_Working_Capital!I24</f>
        <v>703.260273972603</v>
      </c>
      <c r="J39" s="17" t="n">
        <f aca="false">2_Working_Capital!J24</f>
        <v>856.849315068493</v>
      </c>
    </row>
    <row r="40" customFormat="false" ht="15" hidden="false" customHeight="false" outlineLevel="0" collapsed="false">
      <c r="B40" s="7" t="s">
        <v>394</v>
      </c>
      <c r="C40" s="34" t="n">
        <f aca="false">C38+C39</f>
        <v>26.3753424657534</v>
      </c>
      <c r="D40" s="34" t="n">
        <f aca="false">D38+D39</f>
        <v>93.527397260274</v>
      </c>
      <c r="E40" s="34" t="n">
        <f aca="false">E38+E39</f>
        <v>204.515068493151</v>
      </c>
      <c r="F40" s="34" t="n">
        <f aca="false">F38+F39</f>
        <v>406.902739726027</v>
      </c>
      <c r="G40" s="34" t="n">
        <f aca="false">G38+G39</f>
        <v>925.260273972603</v>
      </c>
      <c r="H40" s="34" t="n">
        <f aca="false">H38+H39</f>
        <v>1351.35753424658</v>
      </c>
      <c r="I40" s="34" t="n">
        <f aca="false">I38+I39</f>
        <v>1592.6602739726</v>
      </c>
      <c r="J40" s="34" t="n">
        <f aca="false">J38+J39</f>
        <v>1851.94931506849</v>
      </c>
    </row>
    <row r="41" customFormat="false" ht="15" hidden="false" customHeight="false" outlineLevel="0" collapsed="false">
      <c r="B41" s="8" t="s">
        <v>395</v>
      </c>
      <c r="C41" s="35" t="n">
        <f aca="false">C40/2</f>
        <v>13.1876712328767</v>
      </c>
      <c r="D41" s="35" t="n">
        <f aca="false">(C40+D40)/2</f>
        <v>59.9513698630137</v>
      </c>
      <c r="E41" s="35" t="n">
        <f aca="false">(D40+E40)/2</f>
        <v>149.021232876712</v>
      </c>
      <c r="F41" s="35" t="n">
        <f aca="false">(E40+F40)/2</f>
        <v>305.708904109589</v>
      </c>
      <c r="G41" s="35" t="n">
        <f aca="false">(F40+G40)/2</f>
        <v>666.081506849315</v>
      </c>
      <c r="H41" s="35" t="n">
        <f aca="false">(G40+H40)/2</f>
        <v>1138.30890410959</v>
      </c>
      <c r="I41" s="35" t="n">
        <f aca="false">(H40+I40)/2</f>
        <v>1472.00890410959</v>
      </c>
      <c r="J41" s="35" t="n">
        <f aca="false">(I40+J40)/2</f>
        <v>1722.30479452055</v>
      </c>
    </row>
    <row r="42" customFormat="false" ht="15" hidden="false" customHeight="false" outlineLevel="0" collapsed="false">
      <c r="B42" s="7" t="s">
        <v>396</v>
      </c>
      <c r="C42" s="46" t="n">
        <f aca="false">IF(C41=0,0,C37/C41)</f>
        <v>-0.250233717669056</v>
      </c>
      <c r="D42" s="46" t="n">
        <f aca="false">IF(D41=0,0,D37/D41)</f>
        <v>0.0487895440368334</v>
      </c>
      <c r="E42" s="46" t="n">
        <f aca="false">IF(E41=0,0,E37/E41)</f>
        <v>0.111225760786134</v>
      </c>
      <c r="F42" s="46" t="n">
        <f aca="false">IF(F41=0,0,F37/F41)</f>
        <v>0.148916172829825</v>
      </c>
      <c r="G42" s="46" t="n">
        <f aca="false">IF(G41=0,0,G37/G41)</f>
        <v>0.135906790789313</v>
      </c>
      <c r="H42" s="46" t="n">
        <f aca="false">IF(H41=0,0,H37/H41)</f>
        <v>0.194828485659152</v>
      </c>
      <c r="I42" s="46" t="n">
        <f aca="false">IF(I41=0,0,I37/I41)</f>
        <v>0.248996455780075</v>
      </c>
      <c r="J42" s="46" t="n">
        <f aca="false">IF(J41=0,0,J37/J41)</f>
        <v>0.307306233881407</v>
      </c>
    </row>
    <row r="43" customFormat="false" ht="15" hidden="false" customHeight="false" outlineLevel="0" collapsed="false">
      <c r="B43" s="8" t="s">
        <v>397</v>
      </c>
      <c r="C43" s="18" t="n">
        <f aca="false">4_OppCost_WACC!C27</f>
        <v>0.3</v>
      </c>
      <c r="D43" s="18" t="n">
        <f aca="false">4_OppCost_WACC!D27</f>
        <v>0.190446428571429</v>
      </c>
      <c r="E43" s="18" t="n">
        <f aca="false">4_OppCost_WACC!E27</f>
        <v>0.190527234636872</v>
      </c>
      <c r="F43" s="18" t="n">
        <f aca="false">4_OppCost_WACC!F27</f>
        <v>0.353320622743682</v>
      </c>
      <c r="G43" s="18" t="n">
        <f aca="false">4_OppCost_WACC!G27</f>
        <v>0.336270504731861</v>
      </c>
      <c r="H43" s="18" t="n">
        <f aca="false">4_OppCost_WACC!H27</f>
        <v>0.267259943181818</v>
      </c>
      <c r="I43" s="18" t="n">
        <f aca="false">4_OppCost_WACC!I27</f>
        <v>0.224813241839763</v>
      </c>
      <c r="J43" s="18" t="n">
        <f aca="false">4_OppCost_WACC!J27</f>
        <v>0.182375</v>
      </c>
    </row>
    <row r="44" customFormat="false" ht="15" hidden="false" customHeight="false" outlineLevel="0" collapsed="false">
      <c r="B44" s="7" t="s">
        <v>398</v>
      </c>
      <c r="C44" s="47" t="n">
        <f aca="false">C42-C43</f>
        <v>-0.550233717669056</v>
      </c>
      <c r="D44" s="47" t="n">
        <f aca="false">D42-D43</f>
        <v>-0.141656884534595</v>
      </c>
      <c r="E44" s="47" t="n">
        <f aca="false">E42-E43</f>
        <v>-0.0793014738507371</v>
      </c>
      <c r="F44" s="47" t="n">
        <f aca="false">F42-F43</f>
        <v>-0.204404449913857</v>
      </c>
      <c r="G44" s="47" t="n">
        <f aca="false">G42-G43</f>
        <v>-0.200363713942549</v>
      </c>
      <c r="H44" s="47" t="n">
        <f aca="false">H42-H43</f>
        <v>-0.0724314575226661</v>
      </c>
      <c r="I44" s="47" t="n">
        <f aca="false">I42-I43</f>
        <v>0.0241832139403124</v>
      </c>
      <c r="J44" s="47" t="n">
        <f aca="false">J42-J43</f>
        <v>0.124931233881407</v>
      </c>
    </row>
    <row r="45" customFormat="false" ht="22.35" hidden="false" customHeight="false" outlineLevel="0" collapsed="false">
      <c r="B45" s="7" t="s">
        <v>399</v>
      </c>
      <c r="C45" s="36" t="n">
        <f aca="false">C44*C41</f>
        <v>-7.25630136986302</v>
      </c>
      <c r="D45" s="36" t="n">
        <f aca="false">D44*D41</f>
        <v>-8.49252427837574</v>
      </c>
      <c r="E45" s="36" t="n">
        <f aca="false">E44*E41</f>
        <v>-11.8176034021772</v>
      </c>
      <c r="F45" s="36" t="n">
        <f aca="false">F44*F41</f>
        <v>-62.4882603782887</v>
      </c>
      <c r="G45" s="36" t="n">
        <f aca="false">G44*G41</f>
        <v>-133.458564500778</v>
      </c>
      <c r="H45" s="36" t="n">
        <f aca="false">H44*H41</f>
        <v>-82.4493730356864</v>
      </c>
      <c r="I45" s="36" t="n">
        <f aca="false">I44*I41</f>
        <v>35.597906250127</v>
      </c>
      <c r="J45" s="36" t="n">
        <f aca="false">J44*J41</f>
        <v>215.169663099315</v>
      </c>
      <c r="K45" s="24" t="s">
        <v>400</v>
      </c>
    </row>
    <row r="47" customFormat="false" ht="15" hidden="false" customHeight="false" outlineLevel="0" collapsed="false">
      <c r="B47" s="13" t="s">
        <v>401</v>
      </c>
      <c r="C47" s="14"/>
      <c r="D47" s="14"/>
      <c r="E47" s="14"/>
      <c r="F47" s="14"/>
      <c r="G47" s="14"/>
      <c r="H47" s="14"/>
      <c r="I47" s="14"/>
      <c r="J47" s="14"/>
      <c r="K47" s="14"/>
    </row>
    <row r="48" customFormat="false" ht="15" hidden="false" customHeight="false" outlineLevel="0" collapsed="false">
      <c r="B48" s="8" t="s">
        <v>402</v>
      </c>
      <c r="C48" s="23" t="n">
        <v>100</v>
      </c>
    </row>
    <row r="49" customFormat="false" ht="15" hidden="false" customHeight="false" outlineLevel="0" collapsed="false">
      <c r="B49" s="8" t="s">
        <v>362</v>
      </c>
      <c r="C49" s="25" t="n">
        <v>0.15</v>
      </c>
    </row>
    <row r="50" customFormat="false" ht="15" hidden="false" customHeight="false" outlineLevel="0" collapsed="false">
      <c r="B50" s="4" t="s">
        <v>403</v>
      </c>
      <c r="C50" s="55" t="n">
        <v>0</v>
      </c>
      <c r="D50" s="55" t="n">
        <v>0.04</v>
      </c>
      <c r="E50" s="55" t="n">
        <v>0.08</v>
      </c>
      <c r="F50" s="55" t="n">
        <v>0.1</v>
      </c>
    </row>
    <row r="51" customFormat="false" ht="15" hidden="false" customHeight="false" outlineLevel="0" collapsed="false">
      <c r="B51" s="55" t="n">
        <v>0.1</v>
      </c>
      <c r="C51" s="54" t="n">
        <f aca="false">$C$48*(1-C$50/$B51)/($C$49-C$50)</f>
        <v>666.666666666667</v>
      </c>
      <c r="D51" s="54" t="n">
        <f aca="false">$C$48*(1-D$50/$B51)/($C$49-D$50)</f>
        <v>545.454545454546</v>
      </c>
      <c r="E51" s="54" t="n">
        <f aca="false">$C$48*(1-E$50/$B51)/($C$49-E$50)</f>
        <v>285.714285714286</v>
      </c>
      <c r="F51" s="54" t="n">
        <f aca="false">$C$48*(1-F$50/$B51)/($C$49-F$50)</f>
        <v>0</v>
      </c>
    </row>
    <row r="52" customFormat="false" ht="15" hidden="false" customHeight="false" outlineLevel="0" collapsed="false">
      <c r="B52" s="55" t="n">
        <v>0.15</v>
      </c>
      <c r="C52" s="54" t="n">
        <f aca="false">$C$48*(1-C$50/$B52)/($C$49-C$50)</f>
        <v>666.666666666667</v>
      </c>
      <c r="D52" s="54" t="n">
        <f aca="false">$C$48*(1-D$50/$B52)/($C$49-D$50)</f>
        <v>666.666666666667</v>
      </c>
      <c r="E52" s="54" t="n">
        <f aca="false">$C$48*(1-E$50/$B52)/($C$49-E$50)</f>
        <v>666.666666666667</v>
      </c>
      <c r="F52" s="54" t="n">
        <f aca="false">$C$48*(1-F$50/$B52)/($C$49-F$50)</f>
        <v>666.666666666667</v>
      </c>
    </row>
    <row r="53" customFormat="false" ht="15" hidden="false" customHeight="false" outlineLevel="0" collapsed="false">
      <c r="B53" s="55" t="n">
        <v>0.25</v>
      </c>
      <c r="C53" s="54" t="n">
        <f aca="false">$C$48*(1-C$50/$B53)/($C$49-C$50)</f>
        <v>666.666666666667</v>
      </c>
      <c r="D53" s="54" t="n">
        <f aca="false">$C$48*(1-D$50/$B53)/($C$49-D$50)</f>
        <v>763.636363636364</v>
      </c>
      <c r="E53" s="54" t="n">
        <f aca="false">$C$48*(1-E$50/$B53)/($C$49-E$50)</f>
        <v>971.428571428572</v>
      </c>
      <c r="F53" s="54" t="n">
        <f aca="false">$C$48*(1-F$50/$B53)/($C$49-F$50)</f>
        <v>1200</v>
      </c>
    </row>
    <row r="54" customFormat="false" ht="30" hidden="false" customHeight="true" outlineLevel="0" collapsed="false">
      <c r="B54" s="38" t="s">
        <v>404</v>
      </c>
      <c r="C54" s="38"/>
      <c r="D54" s="38"/>
      <c r="E54" s="38"/>
      <c r="F54" s="38"/>
      <c r="G54" s="38"/>
      <c r="H54" s="38"/>
      <c r="I54" s="38"/>
      <c r="J54" s="38"/>
      <c r="K54" s="38"/>
    </row>
    <row r="56" customFormat="false" ht="15" hidden="false" customHeight="false" outlineLevel="0" collapsed="false">
      <c r="B56" s="13" t="s">
        <v>405</v>
      </c>
      <c r="C56" s="14"/>
      <c r="D56" s="14"/>
      <c r="E56" s="14"/>
      <c r="F56" s="14"/>
      <c r="G56" s="14"/>
      <c r="H56" s="14"/>
      <c r="I56" s="14"/>
      <c r="J56" s="14"/>
      <c r="K56" s="14"/>
    </row>
    <row r="57" customFormat="false" ht="15" hidden="false" customHeight="true" outlineLevel="0" collapsed="false">
      <c r="B57" s="56" t="s">
        <v>406</v>
      </c>
      <c r="C57" s="56"/>
      <c r="D57" s="56"/>
      <c r="E57" s="56"/>
      <c r="F57" s="56"/>
      <c r="G57" s="56"/>
      <c r="H57" s="56"/>
      <c r="I57" s="56"/>
      <c r="J57" s="56"/>
      <c r="K57" s="56"/>
    </row>
    <row r="58" customFormat="false" ht="30" hidden="false" customHeight="true" outlineLevel="0" collapsed="false">
      <c r="B58" s="56" t="s">
        <v>407</v>
      </c>
      <c r="C58" s="56"/>
      <c r="D58" s="56"/>
      <c r="E58" s="56"/>
      <c r="F58" s="56"/>
      <c r="G58" s="56"/>
      <c r="H58" s="56"/>
      <c r="I58" s="56"/>
      <c r="J58" s="56"/>
      <c r="K58" s="56"/>
    </row>
    <row r="59" customFormat="false" ht="15" hidden="false" customHeight="true" outlineLevel="0" collapsed="false">
      <c r="B59" s="56" t="s">
        <v>408</v>
      </c>
      <c r="C59" s="56"/>
      <c r="D59" s="56"/>
      <c r="E59" s="56"/>
      <c r="F59" s="56"/>
      <c r="G59" s="56"/>
      <c r="H59" s="56"/>
      <c r="I59" s="56"/>
      <c r="J59" s="56"/>
      <c r="K59" s="56"/>
    </row>
    <row r="60" customFormat="false" ht="15" hidden="false" customHeight="true" outlineLevel="0" collapsed="false">
      <c r="B60" s="56" t="s">
        <v>409</v>
      </c>
      <c r="C60" s="56"/>
      <c r="D60" s="56"/>
      <c r="E60" s="56"/>
      <c r="F60" s="56"/>
      <c r="G60" s="56"/>
      <c r="H60" s="56"/>
      <c r="I60" s="56"/>
      <c r="J60" s="56"/>
      <c r="K60" s="56"/>
    </row>
    <row r="61" customFormat="false" ht="15" hidden="false" customHeight="true" outlineLevel="0" collapsed="false">
      <c r="B61" s="56" t="s">
        <v>410</v>
      </c>
      <c r="C61" s="56"/>
      <c r="D61" s="56"/>
      <c r="E61" s="56"/>
      <c r="F61" s="56"/>
      <c r="G61" s="56"/>
      <c r="H61" s="56"/>
      <c r="I61" s="56"/>
      <c r="J61" s="56"/>
      <c r="K61" s="56"/>
    </row>
  </sheetData>
  <mergeCells count="13">
    <mergeCell ref="B4:K4"/>
    <mergeCell ref="D14:K14"/>
    <mergeCell ref="D15:K15"/>
    <mergeCell ref="D17:K17"/>
    <mergeCell ref="D21:K21"/>
    <mergeCell ref="D22:K22"/>
    <mergeCell ref="B32:K32"/>
    <mergeCell ref="B54:K54"/>
    <mergeCell ref="B57:K57"/>
    <mergeCell ref="B58:K58"/>
    <mergeCell ref="B59:K59"/>
    <mergeCell ref="B60:K60"/>
    <mergeCell ref="B61:K6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2026-10-25T01:25:51Z</dcterms:created>
  <dc:creator>openpyxl</dc:creator>
  <dc:description/>
  <dc:language>en-US</dc:language>
  <cp:lastModifiedBy/>
  <dcterms:modified xsi:type="dcterms:W3CDTF">2026-10-25T01:25:53Z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