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trichyravis/Library/Mobile Documents/com~apple~CloudDocs/01. Ravis Academics/01. NMIMS/0C. Courses/62. Courses (FD) July 2026 -Sep 2026/04. FRM (2026)/02. Lecture Sessions Materials/03. Sessions No 5,6 /"/>
    </mc:Choice>
  </mc:AlternateContent>
  <xr:revisionPtr revIDLastSave="0" documentId="8_{BC119CAF-96FE-034F-A4E2-3A1CE87C57A0}" xr6:coauthVersionLast="47" xr6:coauthVersionMax="47" xr10:uidLastSave="{00000000-0000-0000-0000-000000000000}"/>
  <bookViews>
    <workbookView xWindow="38400" yWindow="0" windowWidth="38400" windowHeight="21600" tabRatio="500" activeTab="1" xr2:uid="{00000000-000D-0000-FFFF-FFFF00000000}"/>
  </bookViews>
  <sheets>
    <sheet name="Index" sheetId="1" r:id="rId1"/>
    <sheet name="Q&amp;A Chapter 7" sheetId="2" r:id="rId2"/>
    <sheet name="P1 Prob Above" sheetId="3" r:id="rId3"/>
    <sheet name="P2 Percentile" sheetId="4" r:id="rId4"/>
    <sheet name="P3 Prob Below" sheetId="5" r:id="rId5"/>
    <sheet name="P4 ITC Data" sheetId="6" r:id="rId6"/>
    <sheet name="P5 Forward" sheetId="7" r:id="rId7"/>
    <sheet name="P6 Binary Two Worlds" sheetId="8" r:id="rId8"/>
    <sheet name="P7 Binary 7.12" sheetId="9" r:id="rId9"/>
    <sheet name="P8 Binary 7.6" sheetId="10" r:id="rId10"/>
    <sheet name="P9 State Prices" sheetId="11" r:id="rId11"/>
    <sheet name="P10 VaR Shares" sheetId="12" r:id="rId12"/>
    <sheet name="P11 Worst Case" sheetId="13" r:id="rId13"/>
    <sheet name="P12 PNB SBI" sheetId="14" r:id="rId14"/>
    <sheet name="P13 Both Worlds" sheetId="15" r:id="rId15"/>
    <sheet name="P14 Monte Carlo" sheetId="16" r:id="rId16"/>
    <sheet name="P15 CAPM Lambda" sheetId="17" r:id="rId17"/>
  </sheets>
  <definedNames>
    <definedName name="_xlnm.Print_Titles" localSheetId="1">'Q&amp;A Chapter 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0" i="17" l="1"/>
  <c r="D21" i="17" s="1"/>
  <c r="D18" i="17"/>
  <c r="C15" i="16"/>
  <c r="C14" i="16"/>
  <c r="C13" i="16"/>
  <c r="C12" i="16"/>
  <c r="C11" i="16"/>
  <c r="I19" i="16" s="1"/>
  <c r="C10" i="16"/>
  <c r="C9" i="16"/>
  <c r="C8" i="16"/>
  <c r="D22" i="15"/>
  <c r="D23" i="15" s="1"/>
  <c r="D24" i="15" s="1"/>
  <c r="D25" i="15" s="1"/>
  <c r="D21" i="15"/>
  <c r="D20" i="15"/>
  <c r="E38" i="14"/>
  <c r="D38" i="14"/>
  <c r="C38" i="14"/>
  <c r="B38" i="14"/>
  <c r="E37" i="14"/>
  <c r="D37" i="14"/>
  <c r="C37" i="14"/>
  <c r="B37" i="14"/>
  <c r="E36" i="14"/>
  <c r="D36" i="14"/>
  <c r="C36" i="14"/>
  <c r="B36" i="14"/>
  <c r="E35" i="14"/>
  <c r="D35" i="14"/>
  <c r="C35" i="14"/>
  <c r="B35" i="14"/>
  <c r="E34" i="14"/>
  <c r="D34" i="14"/>
  <c r="C34" i="14"/>
  <c r="B34" i="14"/>
  <c r="D26" i="14"/>
  <c r="D27" i="14" s="1"/>
  <c r="D28" i="14" s="1"/>
  <c r="E18" i="1" s="1"/>
  <c r="D25" i="14"/>
  <c r="D24" i="14"/>
  <c r="D23" i="14"/>
  <c r="D19" i="13"/>
  <c r="D20" i="13" s="1"/>
  <c r="D21" i="13" s="1"/>
  <c r="D17" i="13"/>
  <c r="C12" i="13"/>
  <c r="D18" i="13" s="1"/>
  <c r="D19" i="12"/>
  <c r="D18" i="12"/>
  <c r="D22" i="12" s="1"/>
  <c r="D23" i="12" s="1"/>
  <c r="D16" i="11"/>
  <c r="D17" i="11" s="1"/>
  <c r="D18" i="11" s="1"/>
  <c r="D15" i="11"/>
  <c r="D21" i="10"/>
  <c r="D22" i="10" s="1"/>
  <c r="C14" i="10"/>
  <c r="D18" i="10" s="1"/>
  <c r="D19" i="10" s="1"/>
  <c r="D20" i="10" s="1"/>
  <c r="D22" i="9"/>
  <c r="D23" i="9" s="1"/>
  <c r="D21" i="9"/>
  <c r="D18" i="9"/>
  <c r="D19" i="9" s="1"/>
  <c r="D20" i="9" s="1"/>
  <c r="C14" i="9"/>
  <c r="E40" i="8"/>
  <c r="D40" i="8"/>
  <c r="C40" i="8"/>
  <c r="D39" i="8"/>
  <c r="C39" i="8"/>
  <c r="D38" i="8"/>
  <c r="C38" i="8"/>
  <c r="E38" i="8" s="1"/>
  <c r="D37" i="8"/>
  <c r="E37" i="8" s="1"/>
  <c r="C37" i="8"/>
  <c r="D36" i="8"/>
  <c r="E36" i="8" s="1"/>
  <c r="C36" i="8"/>
  <c r="D35" i="8"/>
  <c r="E35" i="8" s="1"/>
  <c r="C35" i="8"/>
  <c r="E31" i="8"/>
  <c r="F12" i="1" s="1"/>
  <c r="D22" i="8"/>
  <c r="D23" i="8" s="1"/>
  <c r="D24" i="8" s="1"/>
  <c r="D25" i="8" s="1"/>
  <c r="D20" i="8"/>
  <c r="D21" i="8" s="1"/>
  <c r="D18" i="8"/>
  <c r="D19" i="8" s="1"/>
  <c r="D21" i="7"/>
  <c r="D16" i="7"/>
  <c r="D17" i="7" s="1"/>
  <c r="I255" i="6"/>
  <c r="I254" i="6"/>
  <c r="I253" i="6"/>
  <c r="I252" i="6"/>
  <c r="I251" i="6"/>
  <c r="I250" i="6"/>
  <c r="I249" i="6"/>
  <c r="I248" i="6"/>
  <c r="I247" i="6"/>
  <c r="I246" i="6"/>
  <c r="I245" i="6"/>
  <c r="I244" i="6"/>
  <c r="I243" i="6"/>
  <c r="I242" i="6"/>
  <c r="I241" i="6"/>
  <c r="I240" i="6"/>
  <c r="I239" i="6"/>
  <c r="I238" i="6"/>
  <c r="I237" i="6"/>
  <c r="I236" i="6"/>
  <c r="I235" i="6"/>
  <c r="I234" i="6"/>
  <c r="I233" i="6"/>
  <c r="I232" i="6"/>
  <c r="I231" i="6"/>
  <c r="I230" i="6"/>
  <c r="I229" i="6"/>
  <c r="I228" i="6"/>
  <c r="I227" i="6"/>
  <c r="I226" i="6"/>
  <c r="I225" i="6"/>
  <c r="I224" i="6"/>
  <c r="I223" i="6"/>
  <c r="I222" i="6"/>
  <c r="I221" i="6"/>
  <c r="I220" i="6"/>
  <c r="I219" i="6"/>
  <c r="I218" i="6"/>
  <c r="I217" i="6"/>
  <c r="I216" i="6"/>
  <c r="I215" i="6"/>
  <c r="I214" i="6"/>
  <c r="I213" i="6"/>
  <c r="I212" i="6"/>
  <c r="I211" i="6"/>
  <c r="I210" i="6"/>
  <c r="I209" i="6"/>
  <c r="I208" i="6"/>
  <c r="I207" i="6"/>
  <c r="I206" i="6"/>
  <c r="I205" i="6"/>
  <c r="I204" i="6"/>
  <c r="I203" i="6"/>
  <c r="I202" i="6"/>
  <c r="I201" i="6"/>
  <c r="I200" i="6"/>
  <c r="I199" i="6"/>
  <c r="I198" i="6"/>
  <c r="I197" i="6"/>
  <c r="I196" i="6"/>
  <c r="I195" i="6"/>
  <c r="I194" i="6"/>
  <c r="I193" i="6"/>
  <c r="I192" i="6"/>
  <c r="I191" i="6"/>
  <c r="I190" i="6"/>
  <c r="I189" i="6"/>
  <c r="I188" i="6"/>
  <c r="I187" i="6"/>
  <c r="I186" i="6"/>
  <c r="I185" i="6"/>
  <c r="I184" i="6"/>
  <c r="I183" i="6"/>
  <c r="I182" i="6"/>
  <c r="I181" i="6"/>
  <c r="I180" i="6"/>
  <c r="I179" i="6"/>
  <c r="I178" i="6"/>
  <c r="I177" i="6"/>
  <c r="I176" i="6"/>
  <c r="I175" i="6"/>
  <c r="I174" i="6"/>
  <c r="I173" i="6"/>
  <c r="I172" i="6"/>
  <c r="I171" i="6"/>
  <c r="I170" i="6"/>
  <c r="I169" i="6"/>
  <c r="I168" i="6"/>
  <c r="I167" i="6"/>
  <c r="I166" i="6"/>
  <c r="I165" i="6"/>
  <c r="I164" i="6"/>
  <c r="I163" i="6"/>
  <c r="I162" i="6"/>
  <c r="I161" i="6"/>
  <c r="I160" i="6"/>
  <c r="I159" i="6"/>
  <c r="I158" i="6"/>
  <c r="I157" i="6"/>
  <c r="I156" i="6"/>
  <c r="I155" i="6"/>
  <c r="I154" i="6"/>
  <c r="I153" i="6"/>
  <c r="I152" i="6"/>
  <c r="I151" i="6"/>
  <c r="I150" i="6"/>
  <c r="I149" i="6"/>
  <c r="I148" i="6"/>
  <c r="I147" i="6"/>
  <c r="I146" i="6"/>
  <c r="I145" i="6"/>
  <c r="I144" i="6"/>
  <c r="I143" i="6"/>
  <c r="I142" i="6"/>
  <c r="I141" i="6"/>
  <c r="I140" i="6"/>
  <c r="I139" i="6"/>
  <c r="I138" i="6"/>
  <c r="I137" i="6"/>
  <c r="I136" i="6"/>
  <c r="I135" i="6"/>
  <c r="I134" i="6"/>
  <c r="I133" i="6"/>
  <c r="I132" i="6"/>
  <c r="I131" i="6"/>
  <c r="I130" i="6"/>
  <c r="I129" i="6"/>
  <c r="I128" i="6"/>
  <c r="I127" i="6"/>
  <c r="I126" i="6"/>
  <c r="I125" i="6"/>
  <c r="I124" i="6"/>
  <c r="I123" i="6"/>
  <c r="I122" i="6"/>
  <c r="I121" i="6"/>
  <c r="I120" i="6"/>
  <c r="I119" i="6"/>
  <c r="I118" i="6"/>
  <c r="I117" i="6"/>
  <c r="I116" i="6"/>
  <c r="I115" i="6"/>
  <c r="I114" i="6"/>
  <c r="I113" i="6"/>
  <c r="I112" i="6"/>
  <c r="I111" i="6"/>
  <c r="I110" i="6"/>
  <c r="I109" i="6"/>
  <c r="I108" i="6"/>
  <c r="I107" i="6"/>
  <c r="I106" i="6"/>
  <c r="I105" i="6"/>
  <c r="I104" i="6"/>
  <c r="I103" i="6"/>
  <c r="I102" i="6"/>
  <c r="I101" i="6"/>
  <c r="I100" i="6"/>
  <c r="I99" i="6"/>
  <c r="I98" i="6"/>
  <c r="I97" i="6"/>
  <c r="I96" i="6"/>
  <c r="I95" i="6"/>
  <c r="I94" i="6"/>
  <c r="I93" i="6"/>
  <c r="I92" i="6"/>
  <c r="I91" i="6"/>
  <c r="I90" i="6"/>
  <c r="I89" i="6"/>
  <c r="I88" i="6"/>
  <c r="I87" i="6"/>
  <c r="I86" i="6"/>
  <c r="I85" i="6"/>
  <c r="I84" i="6"/>
  <c r="I83" i="6"/>
  <c r="I82" i="6"/>
  <c r="I81" i="6"/>
  <c r="I80" i="6"/>
  <c r="I79" i="6"/>
  <c r="I78" i="6"/>
  <c r="I77" i="6"/>
  <c r="I76" i="6"/>
  <c r="I75" i="6"/>
  <c r="I74" i="6"/>
  <c r="I73" i="6"/>
  <c r="I72" i="6"/>
  <c r="I71" i="6"/>
  <c r="I70" i="6"/>
  <c r="I69" i="6"/>
  <c r="I68" i="6"/>
  <c r="I67" i="6"/>
  <c r="I66" i="6"/>
  <c r="I65" i="6"/>
  <c r="I64" i="6"/>
  <c r="I63" i="6"/>
  <c r="I62" i="6"/>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D17" i="6" s="1"/>
  <c r="D19" i="6" s="1"/>
  <c r="I26" i="6"/>
  <c r="I25" i="6"/>
  <c r="I24" i="6"/>
  <c r="I23" i="6"/>
  <c r="I22" i="6"/>
  <c r="I21" i="6"/>
  <c r="I20" i="6"/>
  <c r="I19" i="6"/>
  <c r="I18" i="6"/>
  <c r="I17" i="6"/>
  <c r="I16" i="6"/>
  <c r="D16" i="6"/>
  <c r="D18" i="6" s="1"/>
  <c r="I15" i="6"/>
  <c r="I14" i="6"/>
  <c r="I13" i="6"/>
  <c r="I12" i="6"/>
  <c r="I11" i="6"/>
  <c r="I10" i="6"/>
  <c r="I9" i="6"/>
  <c r="C9" i="6"/>
  <c r="D20" i="6" s="1"/>
  <c r="D21" i="6" s="1"/>
  <c r="E10" i="1" s="1"/>
  <c r="I8" i="6"/>
  <c r="C8" i="6"/>
  <c r="I7" i="6"/>
  <c r="D19" i="5"/>
  <c r="D20" i="5" s="1"/>
  <c r="D18" i="5"/>
  <c r="D16" i="5"/>
  <c r="C12" i="5"/>
  <c r="D17" i="5" s="1"/>
  <c r="D19" i="4"/>
  <c r="D20" i="4" s="1"/>
  <c r="D18" i="4"/>
  <c r="D17" i="4"/>
  <c r="D16" i="4"/>
  <c r="D18" i="3"/>
  <c r="D17" i="3"/>
  <c r="D19" i="3" s="1"/>
  <c r="D20" i="3" s="1"/>
  <c r="D16" i="3"/>
  <c r="E21" i="1"/>
  <c r="E12" i="1"/>
  <c r="D26" i="4" l="1"/>
  <c r="E8" i="1"/>
  <c r="E26" i="4"/>
  <c r="F8" i="1" s="1"/>
  <c r="A22" i="4"/>
  <c r="A23" i="6"/>
  <c r="E14" i="1"/>
  <c r="E28" i="10"/>
  <c r="F14" i="1" s="1"/>
  <c r="A24" i="10"/>
  <c r="D28" i="10"/>
  <c r="D28" i="13"/>
  <c r="D22" i="13"/>
  <c r="E28" i="13"/>
  <c r="F17" i="1" s="1"/>
  <c r="A24" i="13"/>
  <c r="E17" i="1"/>
  <c r="D18" i="7"/>
  <c r="D19" i="7"/>
  <c r="D20" i="7" s="1"/>
  <c r="D24" i="16"/>
  <c r="E31" i="15"/>
  <c r="F19" i="1" s="1"/>
  <c r="E19" i="1"/>
  <c r="D31" i="15"/>
  <c r="A27" i="15"/>
  <c r="D24" i="9"/>
  <c r="A26" i="9" s="1"/>
  <c r="E13" i="1"/>
  <c r="E30" i="9"/>
  <c r="F13" i="1" s="1"/>
  <c r="D30" i="9"/>
  <c r="D26" i="3"/>
  <c r="E26" i="3"/>
  <c r="F7" i="1" s="1"/>
  <c r="A22" i="3"/>
  <c r="E7" i="1"/>
  <c r="D20" i="11"/>
  <c r="A22" i="11"/>
  <c r="D21" i="5"/>
  <c r="E9" i="1"/>
  <c r="D27" i="5"/>
  <c r="A23" i="5"/>
  <c r="E27" i="5"/>
  <c r="F9" i="1" s="1"/>
  <c r="D29" i="12"/>
  <c r="E16" i="1"/>
  <c r="E29" i="12"/>
  <c r="F16" i="1" s="1"/>
  <c r="I972" i="16"/>
  <c r="I8" i="16"/>
  <c r="A30" i="14"/>
  <c r="J1001" i="16"/>
  <c r="J993" i="16"/>
  <c r="J977" i="16"/>
  <c r="J965" i="16"/>
  <c r="J949" i="16"/>
  <c r="J937" i="16"/>
  <c r="J933" i="16"/>
  <c r="J917" i="16"/>
  <c r="J913" i="16"/>
  <c r="J909" i="16"/>
  <c r="J901" i="16"/>
  <c r="J873" i="16"/>
  <c r="J849" i="16"/>
  <c r="J837" i="16"/>
  <c r="J817" i="16"/>
  <c r="J809" i="16"/>
  <c r="J805" i="16"/>
  <c r="J781" i="16"/>
  <c r="J773" i="16"/>
  <c r="J769" i="16"/>
  <c r="J757" i="16"/>
  <c r="J749" i="16"/>
  <c r="J745" i="16"/>
  <c r="J741" i="16"/>
  <c r="J721" i="16"/>
  <c r="J709" i="16"/>
  <c r="J693" i="16"/>
  <c r="J689" i="16"/>
  <c r="J681" i="16"/>
  <c r="J677" i="16"/>
  <c r="J987" i="16"/>
  <c r="J978" i="16"/>
  <c r="J946" i="16"/>
  <c r="J932" i="16"/>
  <c r="J900" i="16"/>
  <c r="J891" i="16"/>
  <c r="J859" i="16"/>
  <c r="J818" i="16"/>
  <c r="J804" i="16"/>
  <c r="J772" i="16"/>
  <c r="J763" i="16"/>
  <c r="J731" i="16"/>
  <c r="J722" i="16"/>
  <c r="J708" i="16"/>
  <c r="J699" i="16"/>
  <c r="J690" i="16"/>
  <c r="J659" i="16"/>
  <c r="J655" i="16"/>
  <c r="J651" i="16"/>
  <c r="J627" i="16"/>
  <c r="J623" i="16"/>
  <c r="J975" i="16"/>
  <c r="J966" i="16"/>
  <c r="J934" i="16"/>
  <c r="J888" i="16"/>
  <c r="J847" i="16"/>
  <c r="J951" i="16"/>
  <c r="J835" i="16"/>
  <c r="J771" i="16"/>
  <c r="J719" i="16"/>
  <c r="J672" i="16"/>
  <c r="J662" i="16"/>
  <c r="J630" i="16"/>
  <c r="J609" i="16"/>
  <c r="J593" i="16"/>
  <c r="J577" i="16"/>
  <c r="J561" i="16"/>
  <c r="J545" i="16"/>
  <c r="J541" i="16"/>
  <c r="J529" i="16"/>
  <c r="J497" i="16"/>
  <c r="J477" i="16"/>
  <c r="J465" i="16"/>
  <c r="J449" i="16"/>
  <c r="J445" i="16"/>
  <c r="J433" i="16"/>
  <c r="J417" i="16"/>
  <c r="J413" i="16"/>
  <c r="J401" i="16"/>
  <c r="J397" i="16"/>
  <c r="J385" i="16"/>
  <c r="J369" i="16"/>
  <c r="J353" i="16"/>
  <c r="J950" i="16"/>
  <c r="J926" i="16"/>
  <c r="J895" i="16"/>
  <c r="J883" i="16"/>
  <c r="J807" i="16"/>
  <c r="J802" i="16"/>
  <c r="J760" i="16"/>
  <c r="J744" i="16"/>
  <c r="J687" i="16"/>
  <c r="J625" i="16"/>
  <c r="J990" i="16"/>
  <c r="J924" i="16"/>
  <c r="J764" i="16"/>
  <c r="J751" i="16"/>
  <c r="J695" i="16"/>
  <c r="J688" i="16"/>
  <c r="J551" i="16"/>
  <c r="J519" i="16"/>
  <c r="J496" i="16"/>
  <c r="J455" i="16"/>
  <c r="J423" i="16"/>
  <c r="J382" i="16"/>
  <c r="J368" i="16"/>
  <c r="J972" i="16"/>
  <c r="J826" i="16"/>
  <c r="J715" i="16"/>
  <c r="J707" i="16"/>
  <c r="J654" i="16"/>
  <c r="J612" i="16"/>
  <c r="J607" i="16"/>
  <c r="J591" i="16"/>
  <c r="J570" i="16"/>
  <c r="J564" i="16"/>
  <c r="J532" i="16"/>
  <c r="J523" i="16"/>
  <c r="J491" i="16"/>
  <c r="J404" i="16"/>
  <c r="J395" i="16"/>
  <c r="J337" i="16"/>
  <c r="J333" i="16"/>
  <c r="J329" i="16"/>
  <c r="J317" i="16"/>
  <c r="J305" i="16"/>
  <c r="J301" i="16"/>
  <c r="J293" i="16"/>
  <c r="J289" i="16"/>
  <c r="J273" i="16"/>
  <c r="J269" i="16"/>
  <c r="J241" i="16"/>
  <c r="J237" i="16"/>
  <c r="J225" i="16"/>
  <c r="J205" i="16"/>
  <c r="J959" i="16"/>
  <c r="J903" i="16"/>
  <c r="J894" i="16"/>
  <c r="J854" i="16"/>
  <c r="J830" i="16"/>
  <c r="J683" i="16"/>
  <c r="J675" i="16"/>
  <c r="J656" i="16"/>
  <c r="J626" i="16"/>
  <c r="J552" i="16"/>
  <c r="J520" i="16"/>
  <c r="J511" i="16"/>
  <c r="J470" i="16"/>
  <c r="J930" i="16"/>
  <c r="J839" i="16"/>
  <c r="J604" i="16"/>
  <c r="J554" i="16"/>
  <c r="J547" i="16"/>
  <c r="J503" i="16"/>
  <c r="J474" i="16"/>
  <c r="J387" i="16"/>
  <c r="J356" i="16"/>
  <c r="J328" i="16"/>
  <c r="J323" i="16"/>
  <c r="J286" i="16"/>
  <c r="J222" i="16"/>
  <c r="J200" i="16"/>
  <c r="J195" i="16"/>
  <c r="J172" i="16"/>
  <c r="J131" i="16"/>
  <c r="J119" i="16"/>
  <c r="J99" i="16"/>
  <c r="J87" i="16"/>
  <c r="J71" i="16"/>
  <c r="J67" i="16"/>
  <c r="J55" i="16"/>
  <c r="J35" i="16"/>
  <c r="J21" i="16"/>
  <c r="J942" i="16"/>
  <c r="J876" i="16"/>
  <c r="J758" i="16"/>
  <c r="J747" i="16"/>
  <c r="J568" i="16"/>
  <c r="J539" i="16"/>
  <c r="J480" i="16"/>
  <c r="J472" i="16"/>
  <c r="J392" i="16"/>
  <c r="J374" i="16"/>
  <c r="J190" i="16"/>
  <c r="J153" i="16"/>
  <c r="J144" i="16"/>
  <c r="J898" i="16"/>
  <c r="J798" i="16"/>
  <c r="J742" i="16"/>
  <c r="J732" i="16"/>
  <c r="J710" i="16"/>
  <c r="J499" i="16"/>
  <c r="J444" i="16"/>
  <c r="J426" i="16"/>
  <c r="J402" i="16"/>
  <c r="J396" i="16"/>
  <c r="J378" i="16"/>
  <c r="J336" i="16"/>
  <c r="J331" i="16"/>
  <c r="J315" i="16"/>
  <c r="J299" i="16"/>
  <c r="J294" i="16"/>
  <c r="J283" i="16"/>
  <c r="J971" i="16"/>
  <c r="J887" i="16"/>
  <c r="J718" i="16"/>
  <c r="J664" i="16"/>
  <c r="J633" i="16"/>
  <c r="J563" i="16"/>
  <c r="J458" i="16"/>
  <c r="J410" i="16"/>
  <c r="J142" i="16"/>
  <c r="J136" i="16"/>
  <c r="J24" i="16"/>
  <c r="J20" i="16"/>
  <c r="J922" i="16"/>
  <c r="J678" i="16"/>
  <c r="J645" i="16"/>
  <c r="J628" i="16"/>
  <c r="J559" i="16"/>
  <c r="J536" i="16"/>
  <c r="J490" i="16"/>
  <c r="J467" i="16"/>
  <c r="J358" i="16"/>
  <c r="J348" i="16"/>
  <c r="J298" i="16"/>
  <c r="J152" i="16"/>
  <c r="J134" i="16"/>
  <c r="J762" i="16"/>
  <c r="J538" i="16"/>
  <c r="J522" i="16"/>
  <c r="J448" i="16"/>
  <c r="J408" i="16"/>
  <c r="J287" i="16"/>
  <c r="J267" i="16"/>
  <c r="J192" i="16"/>
  <c r="J143" i="16"/>
  <c r="J113" i="16"/>
  <c r="J8" i="16"/>
  <c r="J506" i="16"/>
  <c r="J475" i="16"/>
  <c r="J355" i="16"/>
  <c r="J343" i="16"/>
  <c r="J236" i="16"/>
  <c r="J208" i="16"/>
  <c r="J120" i="16"/>
  <c r="J105" i="16"/>
  <c r="J53" i="16"/>
  <c r="J974" i="16"/>
  <c r="J756" i="16"/>
  <c r="J330" i="16"/>
  <c r="J284" i="16"/>
  <c r="J218" i="16"/>
  <c r="J189" i="16"/>
  <c r="J165" i="16"/>
  <c r="J77" i="16"/>
  <c r="J34" i="16"/>
  <c r="J28" i="16"/>
  <c r="J19" i="16"/>
  <c r="J1002" i="16"/>
  <c r="J910" i="16"/>
  <c r="J706" i="16"/>
  <c r="J638" i="16"/>
  <c r="J376" i="16"/>
  <c r="J263" i="16"/>
  <c r="J226" i="16"/>
  <c r="J215" i="16"/>
  <c r="J180" i="16"/>
  <c r="J156" i="16"/>
  <c r="J148" i="16"/>
  <c r="J117" i="16"/>
  <c r="J96" i="16"/>
  <c r="J89" i="16"/>
  <c r="J64" i="16"/>
  <c r="J874" i="16"/>
  <c r="J822" i="16"/>
  <c r="J598" i="16"/>
  <c r="J124" i="16"/>
  <c r="J69" i="16"/>
  <c r="J57" i="16"/>
  <c r="J22" i="16"/>
  <c r="J10" i="16"/>
  <c r="J848" i="16"/>
  <c r="J723" i="16"/>
  <c r="J700" i="16"/>
  <c r="J614" i="16"/>
  <c r="J544" i="16"/>
  <c r="J530" i="16"/>
  <c r="J498" i="16"/>
  <c r="J483" i="16"/>
  <c r="J303" i="16"/>
  <c r="J292" i="16"/>
  <c r="J251" i="16"/>
  <c r="J223" i="16"/>
  <c r="J214" i="16"/>
  <c r="J187" i="16"/>
  <c r="J146" i="16"/>
  <c r="J138" i="16"/>
  <c r="J94" i="16"/>
  <c r="J88" i="16"/>
  <c r="J50" i="16"/>
  <c r="J32" i="16"/>
  <c r="J412" i="16"/>
  <c r="J260" i="16"/>
  <c r="J193" i="16"/>
  <c r="J178" i="16"/>
  <c r="J145" i="16"/>
  <c r="J80" i="16"/>
  <c r="J37" i="16"/>
  <c r="J592" i="16"/>
  <c r="J424" i="16"/>
  <c r="J384" i="16"/>
  <c r="J268" i="16"/>
  <c r="J121" i="16"/>
  <c r="J100" i="16"/>
  <c r="J93" i="16"/>
  <c r="J61" i="16"/>
  <c r="J54" i="16"/>
  <c r="J11" i="16"/>
  <c r="E39" i="8"/>
  <c r="D20" i="12"/>
  <c r="D21" i="12" s="1"/>
  <c r="A25" i="12" s="1"/>
  <c r="I996" i="16"/>
  <c r="J996" i="16" s="1"/>
  <c r="I931" i="16"/>
  <c r="J931" i="16" s="1"/>
  <c r="I899" i="16"/>
  <c r="J899" i="16" s="1"/>
  <c r="I874" i="16"/>
  <c r="I817" i="16"/>
  <c r="I796" i="16"/>
  <c r="J796" i="16" s="1"/>
  <c r="I747" i="16"/>
  <c r="I675" i="16"/>
  <c r="I654" i="16"/>
  <c r="I634" i="16"/>
  <c r="J634" i="16" s="1"/>
  <c r="I596" i="16"/>
  <c r="J596" i="16" s="1"/>
  <c r="I559" i="16"/>
  <c r="I465" i="16"/>
  <c r="I440" i="16"/>
  <c r="J440" i="16" s="1"/>
  <c r="I426" i="16"/>
  <c r="I413" i="16"/>
  <c r="I402" i="16"/>
  <c r="I388" i="16"/>
  <c r="J388" i="16" s="1"/>
  <c r="I363" i="16"/>
  <c r="J363" i="16" s="1"/>
  <c r="I348" i="16"/>
  <c r="I337" i="16"/>
  <c r="I327" i="16"/>
  <c r="J327" i="16" s="1"/>
  <c r="I81" i="16"/>
  <c r="J81" i="16" s="1"/>
  <c r="I69" i="16"/>
  <c r="I57" i="16"/>
  <c r="I38" i="16"/>
  <c r="J38" i="16" s="1"/>
  <c r="I26" i="16"/>
  <c r="J26" i="16" s="1"/>
  <c r="I22" i="16"/>
  <c r="I17" i="16"/>
  <c r="J17" i="16" s="1"/>
  <c r="I13" i="16"/>
  <c r="J13" i="16" s="1"/>
  <c r="I10" i="16"/>
  <c r="I959" i="16"/>
  <c r="I926" i="16"/>
  <c r="I897" i="16"/>
  <c r="J897" i="16" s="1"/>
  <c r="I871" i="16"/>
  <c r="J871" i="16" s="1"/>
  <c r="I795" i="16"/>
  <c r="J795" i="16" s="1"/>
  <c r="I744" i="16"/>
  <c r="I721" i="16"/>
  <c r="I697" i="16"/>
  <c r="J697" i="16" s="1"/>
  <c r="I673" i="16"/>
  <c r="J673" i="16" s="1"/>
  <c r="I633" i="16"/>
  <c r="I611" i="16"/>
  <c r="J611" i="16" s="1"/>
  <c r="I575" i="16"/>
  <c r="J575" i="16" s="1"/>
  <c r="I558" i="16"/>
  <c r="J558" i="16" s="1"/>
  <c r="I543" i="16"/>
  <c r="J543" i="16" s="1"/>
  <c r="I527" i="16"/>
  <c r="J527" i="16" s="1"/>
  <c r="I512" i="16"/>
  <c r="J512" i="16" s="1"/>
  <c r="I497" i="16"/>
  <c r="I480" i="16"/>
  <c r="I452" i="16"/>
  <c r="J452" i="16" s="1"/>
  <c r="I425" i="16"/>
  <c r="J425" i="16" s="1"/>
  <c r="I385" i="16"/>
  <c r="I374" i="16"/>
  <c r="I347" i="16"/>
  <c r="J347" i="16" s="1"/>
  <c r="I336" i="16"/>
  <c r="I313" i="16"/>
  <c r="J313" i="16" s="1"/>
  <c r="I303" i="16"/>
  <c r="I279" i="16"/>
  <c r="J279" i="16" s="1"/>
  <c r="I271" i="16"/>
  <c r="J271" i="16" s="1"/>
  <c r="I251" i="16"/>
  <c r="I241" i="16"/>
  <c r="I223" i="16"/>
  <c r="I213" i="16"/>
  <c r="J213" i="16" s="1"/>
  <c r="I187" i="16"/>
  <c r="I153" i="16"/>
  <c r="I122" i="16"/>
  <c r="J122" i="16" s="1"/>
  <c r="I116" i="16"/>
  <c r="J116" i="16" s="1"/>
  <c r="I101" i="16"/>
  <c r="J101" i="16" s="1"/>
  <c r="I94" i="16"/>
  <c r="I74" i="16"/>
  <c r="J74" i="16" s="1"/>
  <c r="I62" i="16"/>
  <c r="J62" i="16" s="1"/>
  <c r="I44" i="16"/>
  <c r="J44" i="16" s="1"/>
  <c r="I32" i="16"/>
  <c r="I985" i="16"/>
  <c r="J985" i="16" s="1"/>
  <c r="I954" i="16"/>
  <c r="J954" i="16" s="1"/>
  <c r="I922" i="16"/>
  <c r="I895" i="16"/>
  <c r="I869" i="16"/>
  <c r="J869" i="16" s="1"/>
  <c r="I837" i="16"/>
  <c r="I790" i="16"/>
  <c r="J790" i="16" s="1"/>
  <c r="I763" i="16"/>
  <c r="I742" i="16"/>
  <c r="I720" i="16"/>
  <c r="J720" i="16" s="1"/>
  <c r="I694" i="16"/>
  <c r="J694" i="16" s="1"/>
  <c r="I671" i="16"/>
  <c r="J671" i="16" s="1"/>
  <c r="I652" i="16"/>
  <c r="J652" i="16" s="1"/>
  <c r="I628" i="16"/>
  <c r="I541" i="16"/>
  <c r="I523" i="16"/>
  <c r="I450" i="16"/>
  <c r="J450" i="16" s="1"/>
  <c r="I436" i="16"/>
  <c r="J436" i="16" s="1"/>
  <c r="I412" i="16"/>
  <c r="I397" i="16"/>
  <c r="I372" i="16"/>
  <c r="J372" i="16" s="1"/>
  <c r="I358" i="16"/>
  <c r="I288" i="16"/>
  <c r="J288" i="16" s="1"/>
  <c r="I193" i="16"/>
  <c r="I185" i="16"/>
  <c r="J185" i="16" s="1"/>
  <c r="I176" i="16"/>
  <c r="J176" i="16" s="1"/>
  <c r="I169" i="16"/>
  <c r="J169" i="16" s="1"/>
  <c r="I161" i="16"/>
  <c r="J161" i="16" s="1"/>
  <c r="I152" i="16"/>
  <c r="I144" i="16"/>
  <c r="I137" i="16"/>
  <c r="J137" i="16" s="1"/>
  <c r="I80" i="16"/>
  <c r="I68" i="16"/>
  <c r="J68" i="16" s="1"/>
  <c r="I49" i="16"/>
  <c r="J49" i="16" s="1"/>
  <c r="I37" i="16"/>
  <c r="I25" i="16"/>
  <c r="J25" i="16" s="1"/>
  <c r="D31" i="8"/>
  <c r="A27" i="8"/>
  <c r="D19" i="11"/>
  <c r="J7" i="16"/>
  <c r="I7" i="16"/>
  <c r="I33" i="16"/>
  <c r="J33" i="16" s="1"/>
  <c r="I52" i="16"/>
  <c r="J52" i="16" s="1"/>
  <c r="I64" i="16"/>
  <c r="I76" i="16"/>
  <c r="J76" i="16" s="1"/>
  <c r="I89" i="16"/>
  <c r="I96" i="16"/>
  <c r="I110" i="16"/>
  <c r="J110" i="16" s="1"/>
  <c r="I117" i="16"/>
  <c r="I132" i="16"/>
  <c r="J132" i="16" s="1"/>
  <c r="I139" i="16"/>
  <c r="J139" i="16" s="1"/>
  <c r="I156" i="16"/>
  <c r="I164" i="16"/>
  <c r="J164" i="16" s="1"/>
  <c r="I180" i="16"/>
  <c r="I188" i="16"/>
  <c r="J188" i="16" s="1"/>
  <c r="I207" i="16"/>
  <c r="J207" i="16" s="1"/>
  <c r="I215" i="16"/>
  <c r="I235" i="16"/>
  <c r="J235" i="16" s="1"/>
  <c r="I244" i="16"/>
  <c r="J244" i="16" s="1"/>
  <c r="I263" i="16"/>
  <c r="I272" i="16"/>
  <c r="J272" i="16" s="1"/>
  <c r="I293" i="16"/>
  <c r="I304" i="16"/>
  <c r="J304" i="16" s="1"/>
  <c r="I316" i="16"/>
  <c r="J316" i="16" s="1"/>
  <c r="I376" i="16"/>
  <c r="I389" i="16"/>
  <c r="J389" i="16" s="1"/>
  <c r="I403" i="16"/>
  <c r="J403" i="16" s="1"/>
  <c r="I443" i="16"/>
  <c r="J443" i="16" s="1"/>
  <c r="I468" i="16"/>
  <c r="J468" i="16" s="1"/>
  <c r="I499" i="16"/>
  <c r="I531" i="16"/>
  <c r="J531" i="16" s="1"/>
  <c r="I545" i="16"/>
  <c r="I563" i="16"/>
  <c r="I580" i="16"/>
  <c r="J580" i="16" s="1"/>
  <c r="I616" i="16"/>
  <c r="J616" i="16" s="1"/>
  <c r="I657" i="16"/>
  <c r="J657" i="16" s="1"/>
  <c r="I679" i="16"/>
  <c r="J679" i="16" s="1"/>
  <c r="I706" i="16"/>
  <c r="I752" i="16"/>
  <c r="J752" i="16" s="1"/>
  <c r="I775" i="16"/>
  <c r="J775" i="16" s="1"/>
  <c r="I849" i="16"/>
  <c r="I906" i="16"/>
  <c r="J906" i="16" s="1"/>
  <c r="I935" i="16"/>
  <c r="J935" i="16" s="1"/>
  <c r="I961" i="16"/>
  <c r="J961" i="16" s="1"/>
  <c r="I999" i="16"/>
  <c r="J999" i="16" s="1"/>
  <c r="I28" i="16"/>
  <c r="I46" i="16"/>
  <c r="J46" i="16" s="1"/>
  <c r="I58" i="16"/>
  <c r="J58" i="16" s="1"/>
  <c r="I70" i="16"/>
  <c r="J70" i="16" s="1"/>
  <c r="I284" i="16"/>
  <c r="I295" i="16"/>
  <c r="J295" i="16" s="1"/>
  <c r="I305" i="16"/>
  <c r="I319" i="16"/>
  <c r="J319" i="16" s="1"/>
  <c r="I329" i="16"/>
  <c r="I340" i="16"/>
  <c r="J340" i="16" s="1"/>
  <c r="I365" i="16"/>
  <c r="J365" i="16" s="1"/>
  <c r="I392" i="16"/>
  <c r="I416" i="16"/>
  <c r="J416" i="16" s="1"/>
  <c r="I431" i="16"/>
  <c r="J431" i="16" s="1"/>
  <c r="I456" i="16"/>
  <c r="J456" i="16" s="1"/>
  <c r="I486" i="16"/>
  <c r="J486" i="16" s="1"/>
  <c r="I500" i="16"/>
  <c r="J500" i="16" s="1"/>
  <c r="I534" i="16"/>
  <c r="J534" i="16" s="1"/>
  <c r="I564" i="16"/>
  <c r="I728" i="16"/>
  <c r="J728" i="16" s="1"/>
  <c r="I755" i="16"/>
  <c r="J755" i="16" s="1"/>
  <c r="I778" i="16"/>
  <c r="J778" i="16" s="1"/>
  <c r="I828" i="16"/>
  <c r="J828" i="16" s="1"/>
  <c r="I936" i="16"/>
  <c r="J936" i="16" s="1"/>
  <c r="I1001" i="16"/>
  <c r="I992" i="16"/>
  <c r="J992" i="16" s="1"/>
  <c r="I983" i="16"/>
  <c r="J983" i="16" s="1"/>
  <c r="I974" i="16"/>
  <c r="I969" i="16"/>
  <c r="J969" i="16" s="1"/>
  <c r="I960" i="16"/>
  <c r="J960" i="16" s="1"/>
  <c r="I951" i="16"/>
  <c r="I942" i="16"/>
  <c r="I937" i="16"/>
  <c r="I928" i="16"/>
  <c r="J928" i="16" s="1"/>
  <c r="I919" i="16"/>
  <c r="J919" i="16" s="1"/>
  <c r="I910" i="16"/>
  <c r="I905" i="16"/>
  <c r="J905" i="16" s="1"/>
  <c r="I896" i="16"/>
  <c r="J896" i="16" s="1"/>
  <c r="I887" i="16"/>
  <c r="I878" i="16"/>
  <c r="J878" i="16" s="1"/>
  <c r="I873" i="16"/>
  <c r="I864" i="16"/>
  <c r="J864" i="16" s="1"/>
  <c r="I855" i="16"/>
  <c r="J855" i="16" s="1"/>
  <c r="I846" i="16"/>
  <c r="J846" i="16" s="1"/>
  <c r="I841" i="16"/>
  <c r="J841" i="16" s="1"/>
  <c r="I832" i="16"/>
  <c r="J832" i="16" s="1"/>
  <c r="I823" i="16"/>
  <c r="J823" i="16" s="1"/>
  <c r="I814" i="16"/>
  <c r="J814" i="16" s="1"/>
  <c r="I809" i="16"/>
  <c r="I800" i="16"/>
  <c r="J800" i="16" s="1"/>
  <c r="I791" i="16"/>
  <c r="J791" i="16" s="1"/>
  <c r="I782" i="16"/>
  <c r="J782" i="16" s="1"/>
  <c r="I777" i="16"/>
  <c r="J777" i="16" s="1"/>
  <c r="I768" i="16"/>
  <c r="J768" i="16" s="1"/>
  <c r="I759" i="16"/>
  <c r="J759" i="16" s="1"/>
  <c r="I750" i="16"/>
  <c r="J750" i="16" s="1"/>
  <c r="I745" i="16"/>
  <c r="I736" i="16"/>
  <c r="J736" i="16" s="1"/>
  <c r="I727" i="16"/>
  <c r="J727" i="16" s="1"/>
  <c r="I718" i="16"/>
  <c r="I713" i="16"/>
  <c r="J713" i="16" s="1"/>
  <c r="I704" i="16"/>
  <c r="J704" i="16" s="1"/>
  <c r="I695" i="16"/>
  <c r="I686" i="16"/>
  <c r="J686" i="16" s="1"/>
  <c r="I681" i="16"/>
  <c r="I672" i="16"/>
  <c r="I1003" i="16"/>
  <c r="J1003" i="16" s="1"/>
  <c r="I994" i="16"/>
  <c r="J994" i="16" s="1"/>
  <c r="I989" i="16"/>
  <c r="J989" i="16" s="1"/>
  <c r="I980" i="16"/>
  <c r="J980" i="16" s="1"/>
  <c r="I971" i="16"/>
  <c r="I962" i="16"/>
  <c r="J962" i="16" s="1"/>
  <c r="I957" i="16"/>
  <c r="J957" i="16" s="1"/>
  <c r="I948" i="16"/>
  <c r="J948" i="16" s="1"/>
  <c r="I939" i="16"/>
  <c r="J939" i="16" s="1"/>
  <c r="I930" i="16"/>
  <c r="I925" i="16"/>
  <c r="J925" i="16" s="1"/>
  <c r="I916" i="16"/>
  <c r="J916" i="16" s="1"/>
  <c r="I907" i="16"/>
  <c r="J907" i="16" s="1"/>
  <c r="I898" i="16"/>
  <c r="I893" i="16"/>
  <c r="J893" i="16" s="1"/>
  <c r="I884" i="16"/>
  <c r="J884" i="16" s="1"/>
  <c r="I875" i="16"/>
  <c r="J875" i="16" s="1"/>
  <c r="I866" i="16"/>
  <c r="J866" i="16" s="1"/>
  <c r="I861" i="16"/>
  <c r="J861" i="16" s="1"/>
  <c r="I852" i="16"/>
  <c r="J852" i="16" s="1"/>
  <c r="I843" i="16"/>
  <c r="J843" i="16" s="1"/>
  <c r="I834" i="16"/>
  <c r="J834" i="16" s="1"/>
  <c r="I829" i="16"/>
  <c r="J829" i="16" s="1"/>
  <c r="I1000" i="16"/>
  <c r="J1000" i="16" s="1"/>
  <c r="I988" i="16"/>
  <c r="J988" i="16" s="1"/>
  <c r="I982" i="16"/>
  <c r="J982" i="16" s="1"/>
  <c r="I976" i="16"/>
  <c r="J976" i="16" s="1"/>
  <c r="I970" i="16"/>
  <c r="J970" i="16" s="1"/>
  <c r="I958" i="16"/>
  <c r="J958" i="16" s="1"/>
  <c r="I945" i="16"/>
  <c r="J945" i="16" s="1"/>
  <c r="I933" i="16"/>
  <c r="I927" i="16"/>
  <c r="J927" i="16" s="1"/>
  <c r="I921" i="16"/>
  <c r="J921" i="16" s="1"/>
  <c r="I915" i="16"/>
  <c r="J915" i="16" s="1"/>
  <c r="I903" i="16"/>
  <c r="I872" i="16"/>
  <c r="J872" i="16" s="1"/>
  <c r="I860" i="16"/>
  <c r="J860" i="16" s="1"/>
  <c r="I854" i="16"/>
  <c r="I848" i="16"/>
  <c r="I842" i="16"/>
  <c r="J842" i="16" s="1"/>
  <c r="I830" i="16"/>
  <c r="I824" i="16"/>
  <c r="J824" i="16" s="1"/>
  <c r="I819" i="16"/>
  <c r="J819" i="16" s="1"/>
  <c r="I813" i="16"/>
  <c r="J813" i="16" s="1"/>
  <c r="I808" i="16"/>
  <c r="J808" i="16" s="1"/>
  <c r="I803" i="16"/>
  <c r="J803" i="16" s="1"/>
  <c r="I798" i="16"/>
  <c r="I761" i="16"/>
  <c r="J761" i="16" s="1"/>
  <c r="I756" i="16"/>
  <c r="I751" i="16"/>
  <c r="I746" i="16"/>
  <c r="J746" i="16" s="1"/>
  <c r="I740" i="16"/>
  <c r="J740" i="16" s="1"/>
  <c r="I735" i="16"/>
  <c r="J735" i="16" s="1"/>
  <c r="I730" i="16"/>
  <c r="J730" i="16" s="1"/>
  <c r="I709" i="16"/>
  <c r="I693" i="16"/>
  <c r="I688" i="16"/>
  <c r="I683" i="16"/>
  <c r="I678" i="16"/>
  <c r="I667" i="16"/>
  <c r="J667" i="16" s="1"/>
  <c r="I658" i="16"/>
  <c r="J658" i="16" s="1"/>
  <c r="I649" i="16"/>
  <c r="J649" i="16" s="1"/>
  <c r="I640" i="16"/>
  <c r="J640" i="16" s="1"/>
  <c r="I635" i="16"/>
  <c r="J635" i="16" s="1"/>
  <c r="I626" i="16"/>
  <c r="I993" i="16"/>
  <c r="I987" i="16"/>
  <c r="I981" i="16"/>
  <c r="J981" i="16" s="1"/>
  <c r="I975" i="16"/>
  <c r="I963" i="16"/>
  <c r="J963" i="16" s="1"/>
  <c r="I932" i="16"/>
  <c r="I920" i="16"/>
  <c r="J920" i="16" s="1"/>
  <c r="I914" i="16"/>
  <c r="J914" i="16" s="1"/>
  <c r="I908" i="16"/>
  <c r="J908" i="16" s="1"/>
  <c r="I902" i="16"/>
  <c r="J902" i="16" s="1"/>
  <c r="I890" i="16"/>
  <c r="J890" i="16" s="1"/>
  <c r="I877" i="16"/>
  <c r="J877" i="16" s="1"/>
  <c r="I865" i="16"/>
  <c r="J865" i="16" s="1"/>
  <c r="I859" i="16"/>
  <c r="I853" i="16"/>
  <c r="J853" i="16" s="1"/>
  <c r="I847" i="16"/>
  <c r="I835" i="16"/>
  <c r="I818" i="16"/>
  <c r="I797" i="16"/>
  <c r="J797" i="16" s="1"/>
  <c r="I792" i="16"/>
  <c r="J792" i="16" s="1"/>
  <c r="I787" i="16"/>
  <c r="J787" i="16" s="1"/>
  <c r="I781" i="16"/>
  <c r="I776" i="16"/>
  <c r="J776" i="16" s="1"/>
  <c r="I771" i="16"/>
  <c r="I766" i="16"/>
  <c r="J766" i="16" s="1"/>
  <c r="I729" i="16"/>
  <c r="J729" i="16" s="1"/>
  <c r="I724" i="16"/>
  <c r="J724" i="16" s="1"/>
  <c r="I719" i="16"/>
  <c r="I714" i="16"/>
  <c r="J714" i="16" s="1"/>
  <c r="I708" i="16"/>
  <c r="I703" i="16"/>
  <c r="J703" i="16" s="1"/>
  <c r="I698" i="16"/>
  <c r="J698" i="16" s="1"/>
  <c r="I677" i="16"/>
  <c r="I662" i="16"/>
  <c r="I653" i="16"/>
  <c r="J653" i="16" s="1"/>
  <c r="I644" i="16"/>
  <c r="J644" i="16" s="1"/>
  <c r="I639" i="16"/>
  <c r="J639" i="16" s="1"/>
  <c r="I630" i="16"/>
  <c r="I621" i="16"/>
  <c r="J621" i="16" s="1"/>
  <c r="I617" i="16"/>
  <c r="J617" i="16" s="1"/>
  <c r="I613" i="16"/>
  <c r="J613" i="16" s="1"/>
  <c r="I609" i="16"/>
  <c r="I605" i="16"/>
  <c r="J605" i="16" s="1"/>
  <c r="I601" i="16"/>
  <c r="J601" i="16" s="1"/>
  <c r="I597" i="16"/>
  <c r="J597" i="16" s="1"/>
  <c r="I593" i="16"/>
  <c r="I589" i="16"/>
  <c r="J589" i="16" s="1"/>
  <c r="I585" i="16"/>
  <c r="J585" i="16" s="1"/>
  <c r="I581" i="16"/>
  <c r="J581" i="16" s="1"/>
  <c r="I577" i="16"/>
  <c r="I573" i="16"/>
  <c r="J573" i="16" s="1"/>
  <c r="I569" i="16"/>
  <c r="J569" i="16" s="1"/>
  <c r="I565" i="16"/>
  <c r="J565" i="16" s="1"/>
  <c r="I1002" i="16"/>
  <c r="I998" i="16"/>
  <c r="J998" i="16" s="1"/>
  <c r="I973" i="16"/>
  <c r="J973" i="16" s="1"/>
  <c r="I966" i="16"/>
  <c r="I949" i="16"/>
  <c r="I941" i="16"/>
  <c r="J941" i="16" s="1"/>
  <c r="I934" i="16"/>
  <c r="I917" i="16"/>
  <c r="I909" i="16"/>
  <c r="I900" i="16"/>
  <c r="I885" i="16"/>
  <c r="J885" i="16" s="1"/>
  <c r="I876" i="16"/>
  <c r="I868" i="16"/>
  <c r="J868" i="16" s="1"/>
  <c r="I844" i="16"/>
  <c r="J844" i="16" s="1"/>
  <c r="I836" i="16"/>
  <c r="J836" i="16" s="1"/>
  <c r="I827" i="16"/>
  <c r="J827" i="16" s="1"/>
  <c r="I793" i="16"/>
  <c r="J793" i="16" s="1"/>
  <c r="I785" i="16"/>
  <c r="J785" i="16" s="1"/>
  <c r="I779" i="16"/>
  <c r="J779" i="16" s="1"/>
  <c r="I772" i="16"/>
  <c r="I758" i="16"/>
  <c r="I737" i="16"/>
  <c r="J737" i="16" s="1"/>
  <c r="I723" i="16"/>
  <c r="I716" i="16"/>
  <c r="J716" i="16" s="1"/>
  <c r="I710" i="16"/>
  <c r="I702" i="16"/>
  <c r="J702" i="16" s="1"/>
  <c r="I668" i="16"/>
  <c r="J668" i="16" s="1"/>
  <c r="I661" i="16"/>
  <c r="J661" i="16" s="1"/>
  <c r="I655" i="16"/>
  <c r="I637" i="16"/>
  <c r="J637" i="16" s="1"/>
  <c r="I631" i="16"/>
  <c r="J631" i="16" s="1"/>
  <c r="I619" i="16"/>
  <c r="J619" i="16" s="1"/>
  <c r="I614" i="16"/>
  <c r="I608" i="16"/>
  <c r="J608" i="16" s="1"/>
  <c r="I603" i="16"/>
  <c r="J603" i="16" s="1"/>
  <c r="I598" i="16"/>
  <c r="I592" i="16"/>
  <c r="I587" i="16"/>
  <c r="J587" i="16" s="1"/>
  <c r="I582" i="16"/>
  <c r="J582" i="16" s="1"/>
  <c r="I576" i="16"/>
  <c r="J576" i="16" s="1"/>
  <c r="I571" i="16"/>
  <c r="J571" i="16" s="1"/>
  <c r="I566" i="16"/>
  <c r="J566" i="16" s="1"/>
  <c r="I556" i="16"/>
  <c r="J556" i="16" s="1"/>
  <c r="I547" i="16"/>
  <c r="I538" i="16"/>
  <c r="I533" i="16"/>
  <c r="J533" i="16" s="1"/>
  <c r="I524" i="16"/>
  <c r="J524" i="16" s="1"/>
  <c r="I515" i="16"/>
  <c r="J515" i="16" s="1"/>
  <c r="I506" i="16"/>
  <c r="I501" i="16"/>
  <c r="J501" i="16" s="1"/>
  <c r="I492" i="16"/>
  <c r="J492" i="16" s="1"/>
  <c r="I483" i="16"/>
  <c r="I474" i="16"/>
  <c r="I469" i="16"/>
  <c r="J469" i="16" s="1"/>
  <c r="I460" i="16"/>
  <c r="J460" i="16" s="1"/>
  <c r="I451" i="16"/>
  <c r="J451" i="16" s="1"/>
  <c r="I442" i="16"/>
  <c r="J442" i="16" s="1"/>
  <c r="I437" i="16"/>
  <c r="J437" i="16" s="1"/>
  <c r="I428" i="16"/>
  <c r="J428" i="16" s="1"/>
  <c r="I419" i="16"/>
  <c r="J419" i="16" s="1"/>
  <c r="I410" i="16"/>
  <c r="I405" i="16"/>
  <c r="J405" i="16" s="1"/>
  <c r="I396" i="16"/>
  <c r="I387" i="16"/>
  <c r="I378" i="16"/>
  <c r="I373" i="16"/>
  <c r="J373" i="16" s="1"/>
  <c r="I364" i="16"/>
  <c r="J364" i="16" s="1"/>
  <c r="I355" i="16"/>
  <c r="I346" i="16"/>
  <c r="J346" i="16" s="1"/>
  <c r="I342" i="16"/>
  <c r="J342" i="16" s="1"/>
  <c r="I338" i="16"/>
  <c r="J338" i="16" s="1"/>
  <c r="I334" i="16"/>
  <c r="J334" i="16" s="1"/>
  <c r="I330" i="16"/>
  <c r="I326" i="16"/>
  <c r="J326" i="16" s="1"/>
  <c r="I322" i="16"/>
  <c r="J322" i="16" s="1"/>
  <c r="I318" i="16"/>
  <c r="J318" i="16" s="1"/>
  <c r="I314" i="16"/>
  <c r="J314" i="16" s="1"/>
  <c r="I310" i="16"/>
  <c r="J310" i="16" s="1"/>
  <c r="I306" i="16"/>
  <c r="J306" i="16" s="1"/>
  <c r="I302" i="16"/>
  <c r="J302" i="16" s="1"/>
  <c r="I298" i="16"/>
  <c r="I294" i="16"/>
  <c r="I290" i="16"/>
  <c r="J290" i="16" s="1"/>
  <c r="I286" i="16"/>
  <c r="I282" i="16"/>
  <c r="J282" i="16" s="1"/>
  <c r="I278" i="16"/>
  <c r="J278" i="16" s="1"/>
  <c r="I274" i="16"/>
  <c r="J274" i="16" s="1"/>
  <c r="I270" i="16"/>
  <c r="J270" i="16" s="1"/>
  <c r="I266" i="16"/>
  <c r="J266" i="16" s="1"/>
  <c r="I262" i="16"/>
  <c r="J262" i="16" s="1"/>
  <c r="I258" i="16"/>
  <c r="J258" i="16" s="1"/>
  <c r="I254" i="16"/>
  <c r="J254" i="16" s="1"/>
  <c r="I250" i="16"/>
  <c r="J250" i="16" s="1"/>
  <c r="I246" i="16"/>
  <c r="J246" i="16" s="1"/>
  <c r="I242" i="16"/>
  <c r="J242" i="16" s="1"/>
  <c r="I238" i="16"/>
  <c r="J238" i="16" s="1"/>
  <c r="I234" i="16"/>
  <c r="J234" i="16" s="1"/>
  <c r="I230" i="16"/>
  <c r="J230" i="16" s="1"/>
  <c r="I226" i="16"/>
  <c r="I222" i="16"/>
  <c r="I218" i="16"/>
  <c r="I214" i="16"/>
  <c r="I210" i="16"/>
  <c r="J210" i="16" s="1"/>
  <c r="I206" i="16"/>
  <c r="J206" i="16" s="1"/>
  <c r="I202" i="16"/>
  <c r="J202" i="16" s="1"/>
  <c r="I198" i="16"/>
  <c r="J198" i="16" s="1"/>
  <c r="I194" i="16"/>
  <c r="J194" i="16" s="1"/>
  <c r="I190" i="16"/>
  <c r="I186" i="16"/>
  <c r="J186" i="16" s="1"/>
  <c r="I182" i="16"/>
  <c r="J182" i="16" s="1"/>
  <c r="I178" i="16"/>
  <c r="I174" i="16"/>
  <c r="J174" i="16" s="1"/>
  <c r="I170" i="16"/>
  <c r="J170" i="16" s="1"/>
  <c r="I166" i="16"/>
  <c r="J166" i="16" s="1"/>
  <c r="I162" i="16"/>
  <c r="J162" i="16" s="1"/>
  <c r="I158" i="16"/>
  <c r="J158" i="16" s="1"/>
  <c r="I154" i="16"/>
  <c r="J154" i="16" s="1"/>
  <c r="I150" i="16"/>
  <c r="J150" i="16" s="1"/>
  <c r="I146" i="16"/>
  <c r="I142" i="16"/>
  <c r="I138" i="16"/>
  <c r="I134" i="16"/>
  <c r="I997" i="16"/>
  <c r="J997" i="16" s="1"/>
  <c r="I990" i="16"/>
  <c r="I965" i="16"/>
  <c r="I956" i="16"/>
  <c r="J956" i="16" s="1"/>
  <c r="I924" i="16"/>
  <c r="I892" i="16"/>
  <c r="J892" i="16" s="1"/>
  <c r="I883" i="16"/>
  <c r="I851" i="16"/>
  <c r="J851" i="16" s="1"/>
  <c r="I820" i="16"/>
  <c r="J820" i="16" s="1"/>
  <c r="I812" i="16"/>
  <c r="J812" i="16" s="1"/>
  <c r="I806" i="16"/>
  <c r="J806" i="16" s="1"/>
  <c r="I799" i="16"/>
  <c r="J799" i="16" s="1"/>
  <c r="I764" i="16"/>
  <c r="I757" i="16"/>
  <c r="I749" i="16"/>
  <c r="I743" i="16"/>
  <c r="J743" i="16" s="1"/>
  <c r="I722" i="16"/>
  <c r="I701" i="16"/>
  <c r="J701" i="16" s="1"/>
  <c r="I687" i="16"/>
  <c r="I680" i="16"/>
  <c r="J680" i="16" s="1"/>
  <c r="I674" i="16"/>
  <c r="J674" i="16" s="1"/>
  <c r="I666" i="16"/>
  <c r="J666" i="16" s="1"/>
  <c r="I648" i="16"/>
  <c r="J648" i="16" s="1"/>
  <c r="I642" i="16"/>
  <c r="J642" i="16" s="1"/>
  <c r="I624" i="16"/>
  <c r="J624" i="16" s="1"/>
  <c r="I560" i="16"/>
  <c r="J560" i="16" s="1"/>
  <c r="I551" i="16"/>
  <c r="I542" i="16"/>
  <c r="J542" i="16" s="1"/>
  <c r="I537" i="16"/>
  <c r="J537" i="16" s="1"/>
  <c r="I528" i="16"/>
  <c r="J528" i="16" s="1"/>
  <c r="I519" i="16"/>
  <c r="I510" i="16"/>
  <c r="J510" i="16" s="1"/>
  <c r="I505" i="16"/>
  <c r="J505" i="16" s="1"/>
  <c r="I496" i="16"/>
  <c r="I487" i="16"/>
  <c r="J487" i="16" s="1"/>
  <c r="I478" i="16"/>
  <c r="J478" i="16" s="1"/>
  <c r="I473" i="16"/>
  <c r="J473" i="16" s="1"/>
  <c r="I464" i="16"/>
  <c r="J464" i="16" s="1"/>
  <c r="I455" i="16"/>
  <c r="I446" i="16"/>
  <c r="J446" i="16" s="1"/>
  <c r="I441" i="16"/>
  <c r="J441" i="16" s="1"/>
  <c r="I432" i="16"/>
  <c r="J432" i="16" s="1"/>
  <c r="I423" i="16"/>
  <c r="I414" i="16"/>
  <c r="J414" i="16" s="1"/>
  <c r="I409" i="16"/>
  <c r="J409" i="16" s="1"/>
  <c r="I400" i="16"/>
  <c r="J400" i="16" s="1"/>
  <c r="I391" i="16"/>
  <c r="J391" i="16" s="1"/>
  <c r="I382" i="16"/>
  <c r="I377" i="16"/>
  <c r="J377" i="16" s="1"/>
  <c r="I368" i="16"/>
  <c r="I359" i="16"/>
  <c r="J359" i="16" s="1"/>
  <c r="I350" i="16"/>
  <c r="J350" i="16" s="1"/>
  <c r="I984" i="16"/>
  <c r="J984" i="16" s="1"/>
  <c r="I952" i="16"/>
  <c r="J952" i="16" s="1"/>
  <c r="I943" i="16"/>
  <c r="J943" i="16" s="1"/>
  <c r="I911" i="16"/>
  <c r="J911" i="16" s="1"/>
  <c r="I879" i="16"/>
  <c r="J879" i="16" s="1"/>
  <c r="I870" i="16"/>
  <c r="J870" i="16" s="1"/>
  <c r="I845" i="16"/>
  <c r="J845" i="16" s="1"/>
  <c r="I838" i="16"/>
  <c r="J838" i="16" s="1"/>
  <c r="I822" i="16"/>
  <c r="I801" i="16"/>
  <c r="J801" i="16" s="1"/>
  <c r="I788" i="16"/>
  <c r="J788" i="16" s="1"/>
  <c r="I780" i="16"/>
  <c r="J780" i="16" s="1"/>
  <c r="I774" i="16"/>
  <c r="J774" i="16" s="1"/>
  <c r="I767" i="16"/>
  <c r="J767" i="16" s="1"/>
  <c r="I732" i="16"/>
  <c r="I725" i="16"/>
  <c r="J725" i="16" s="1"/>
  <c r="I717" i="16"/>
  <c r="J717" i="16" s="1"/>
  <c r="I711" i="16"/>
  <c r="J711" i="16" s="1"/>
  <c r="I690" i="16"/>
  <c r="I669" i="16"/>
  <c r="J669" i="16" s="1"/>
  <c r="I663" i="16"/>
  <c r="J663" i="16" s="1"/>
  <c r="I645" i="16"/>
  <c r="I638" i="16"/>
  <c r="I620" i="16"/>
  <c r="J620" i="16" s="1"/>
  <c r="I615" i="16"/>
  <c r="J615" i="16" s="1"/>
  <c r="I610" i="16"/>
  <c r="J610" i="16" s="1"/>
  <c r="I604" i="16"/>
  <c r="I599" i="16"/>
  <c r="J599" i="16" s="1"/>
  <c r="I594" i="16"/>
  <c r="J594" i="16" s="1"/>
  <c r="I588" i="16"/>
  <c r="J588" i="16" s="1"/>
  <c r="I583" i="16"/>
  <c r="J583" i="16" s="1"/>
  <c r="I578" i="16"/>
  <c r="J578" i="16" s="1"/>
  <c r="I572" i="16"/>
  <c r="J572" i="16" s="1"/>
  <c r="I567" i="16"/>
  <c r="J567" i="16" s="1"/>
  <c r="I562" i="16"/>
  <c r="J562" i="16" s="1"/>
  <c r="I557" i="16"/>
  <c r="J557" i="16" s="1"/>
  <c r="I548" i="16"/>
  <c r="J548" i="16" s="1"/>
  <c r="I539" i="16"/>
  <c r="I530" i="16"/>
  <c r="I525" i="16"/>
  <c r="J525" i="16" s="1"/>
  <c r="I516" i="16"/>
  <c r="J516" i="16" s="1"/>
  <c r="I507" i="16"/>
  <c r="J507" i="16" s="1"/>
  <c r="I498" i="16"/>
  <c r="I493" i="16"/>
  <c r="J493" i="16" s="1"/>
  <c r="I484" i="16"/>
  <c r="J484" i="16" s="1"/>
  <c r="I475" i="16"/>
  <c r="I466" i="16"/>
  <c r="J466" i="16" s="1"/>
  <c r="I955" i="16"/>
  <c r="J955" i="16" s="1"/>
  <c r="I944" i="16"/>
  <c r="J944" i="16" s="1"/>
  <c r="I918" i="16"/>
  <c r="J918" i="16" s="1"/>
  <c r="I891" i="16"/>
  <c r="I880" i="16"/>
  <c r="J880" i="16" s="1"/>
  <c r="I826" i="16"/>
  <c r="I816" i="16"/>
  <c r="J816" i="16" s="1"/>
  <c r="I804" i="16"/>
  <c r="I794" i="16"/>
  <c r="J794" i="16" s="1"/>
  <c r="I783" i="16"/>
  <c r="J783" i="16" s="1"/>
  <c r="I770" i="16"/>
  <c r="J770" i="16" s="1"/>
  <c r="I760" i="16"/>
  <c r="I748" i="16"/>
  <c r="J748" i="16" s="1"/>
  <c r="I738" i="16"/>
  <c r="J738" i="16" s="1"/>
  <c r="I715" i="16"/>
  <c r="I705" i="16"/>
  <c r="J705" i="16" s="1"/>
  <c r="I692" i="16"/>
  <c r="J692" i="16" s="1"/>
  <c r="I682" i="16"/>
  <c r="J682" i="16" s="1"/>
  <c r="I660" i="16"/>
  <c r="J660" i="16" s="1"/>
  <c r="I651" i="16"/>
  <c r="I641" i="16"/>
  <c r="J641" i="16" s="1"/>
  <c r="I632" i="16"/>
  <c r="J632" i="16" s="1"/>
  <c r="I622" i="16"/>
  <c r="J622" i="16" s="1"/>
  <c r="I612" i="16"/>
  <c r="I579" i="16"/>
  <c r="J579" i="16" s="1"/>
  <c r="I570" i="16"/>
  <c r="I540" i="16"/>
  <c r="J540" i="16" s="1"/>
  <c r="I532" i="16"/>
  <c r="I526" i="16"/>
  <c r="J526" i="16" s="1"/>
  <c r="I518" i="16"/>
  <c r="J518" i="16" s="1"/>
  <c r="I511" i="16"/>
  <c r="I489" i="16"/>
  <c r="J489" i="16" s="1"/>
  <c r="I481" i="16"/>
  <c r="J481" i="16" s="1"/>
  <c r="I467" i="16"/>
  <c r="I454" i="16"/>
  <c r="J454" i="16" s="1"/>
  <c r="I448" i="16"/>
  <c r="I430" i="16"/>
  <c r="J430" i="16" s="1"/>
  <c r="I424" i="16"/>
  <c r="I417" i="16"/>
  <c r="I406" i="16"/>
  <c r="J406" i="16" s="1"/>
  <c r="I399" i="16"/>
  <c r="J399" i="16" s="1"/>
  <c r="I393" i="16"/>
  <c r="J393" i="16" s="1"/>
  <c r="I375" i="16"/>
  <c r="J375" i="16" s="1"/>
  <c r="I369" i="16"/>
  <c r="I351" i="16"/>
  <c r="J351" i="16" s="1"/>
  <c r="I191" i="16"/>
  <c r="J191" i="16" s="1"/>
  <c r="I177" i="16"/>
  <c r="J177" i="16" s="1"/>
  <c r="I168" i="16"/>
  <c r="J168" i="16" s="1"/>
  <c r="I159" i="16"/>
  <c r="J159" i="16" s="1"/>
  <c r="I145" i="16"/>
  <c r="I136" i="16"/>
  <c r="I24" i="16"/>
  <c r="I12" i="16"/>
  <c r="J12" i="16" s="1"/>
  <c r="I995" i="16"/>
  <c r="J995" i="16" s="1"/>
  <c r="I968" i="16"/>
  <c r="J968" i="16" s="1"/>
  <c r="I929" i="16"/>
  <c r="J929" i="16" s="1"/>
  <c r="I904" i="16"/>
  <c r="J904" i="16" s="1"/>
  <c r="I889" i="16"/>
  <c r="J889" i="16" s="1"/>
  <c r="I850" i="16"/>
  <c r="J850" i="16" s="1"/>
  <c r="I839" i="16"/>
  <c r="I825" i="16"/>
  <c r="J825" i="16" s="1"/>
  <c r="I815" i="16"/>
  <c r="J815" i="16" s="1"/>
  <c r="I769" i="16"/>
  <c r="I726" i="16"/>
  <c r="J726" i="16" s="1"/>
  <c r="I670" i="16"/>
  <c r="J670" i="16" s="1"/>
  <c r="I659" i="16"/>
  <c r="I650" i="16"/>
  <c r="J650" i="16" s="1"/>
  <c r="I629" i="16"/>
  <c r="J629" i="16" s="1"/>
  <c r="I595" i="16"/>
  <c r="J595" i="16" s="1"/>
  <c r="I586" i="16"/>
  <c r="J586" i="16" s="1"/>
  <c r="I561" i="16"/>
  <c r="I554" i="16"/>
  <c r="I546" i="16"/>
  <c r="J546" i="16" s="1"/>
  <c r="I517" i="16"/>
  <c r="J517" i="16" s="1"/>
  <c r="I509" i="16"/>
  <c r="J509" i="16" s="1"/>
  <c r="I503" i="16"/>
  <c r="I495" i="16"/>
  <c r="J495" i="16" s="1"/>
  <c r="I488" i="16"/>
  <c r="J488" i="16" s="1"/>
  <c r="I459" i="16"/>
  <c r="J459" i="16" s="1"/>
  <c r="I453" i="16"/>
  <c r="J453" i="16" s="1"/>
  <c r="I435" i="16"/>
  <c r="J435" i="16" s="1"/>
  <c r="I429" i="16"/>
  <c r="J429" i="16" s="1"/>
  <c r="I411" i="16"/>
  <c r="J411" i="16" s="1"/>
  <c r="I404" i="16"/>
  <c r="I386" i="16"/>
  <c r="J386" i="16" s="1"/>
  <c r="I380" i="16"/>
  <c r="J380" i="16" s="1"/>
  <c r="I362" i="16"/>
  <c r="J362" i="16" s="1"/>
  <c r="I356" i="16"/>
  <c r="I349" i="16"/>
  <c r="J349" i="16" s="1"/>
  <c r="I344" i="16"/>
  <c r="J344" i="16" s="1"/>
  <c r="I339" i="16"/>
  <c r="J339" i="16" s="1"/>
  <c r="I333" i="16"/>
  <c r="I328" i="16"/>
  <c r="I323" i="16"/>
  <c r="I317" i="16"/>
  <c r="I312" i="16"/>
  <c r="J312" i="16" s="1"/>
  <c r="I307" i="16"/>
  <c r="J307" i="16" s="1"/>
  <c r="I301" i="16"/>
  <c r="I296" i="16"/>
  <c r="J296" i="16" s="1"/>
  <c r="I291" i="16"/>
  <c r="J291" i="16" s="1"/>
  <c r="I285" i="16"/>
  <c r="J285" i="16" s="1"/>
  <c r="I280" i="16"/>
  <c r="J280" i="16" s="1"/>
  <c r="I275" i="16"/>
  <c r="J275" i="16" s="1"/>
  <c r="I269" i="16"/>
  <c r="I264" i="16"/>
  <c r="J264" i="16" s="1"/>
  <c r="I259" i="16"/>
  <c r="J259" i="16" s="1"/>
  <c r="I253" i="16"/>
  <c r="J253" i="16" s="1"/>
  <c r="I248" i="16"/>
  <c r="J248" i="16" s="1"/>
  <c r="I243" i="16"/>
  <c r="J243" i="16" s="1"/>
  <c r="I237" i="16"/>
  <c r="I232" i="16"/>
  <c r="J232" i="16" s="1"/>
  <c r="I227" i="16"/>
  <c r="J227" i="16" s="1"/>
  <c r="I221" i="16"/>
  <c r="J221" i="16" s="1"/>
  <c r="I216" i="16"/>
  <c r="J216" i="16" s="1"/>
  <c r="I211" i="16"/>
  <c r="J211" i="16" s="1"/>
  <c r="I205" i="16"/>
  <c r="I200" i="16"/>
  <c r="I195" i="16"/>
  <c r="I181" i="16"/>
  <c r="J181" i="16" s="1"/>
  <c r="I172" i="16"/>
  <c r="I163" i="16"/>
  <c r="J163" i="16" s="1"/>
  <c r="I149" i="16"/>
  <c r="J149" i="16" s="1"/>
  <c r="I140" i="16"/>
  <c r="J140" i="16" s="1"/>
  <c r="I131" i="16"/>
  <c r="I127" i="16"/>
  <c r="J127" i="16" s="1"/>
  <c r="I123" i="16"/>
  <c r="J123" i="16" s="1"/>
  <c r="I119" i="16"/>
  <c r="I115" i="16"/>
  <c r="J115" i="16" s="1"/>
  <c r="I111" i="16"/>
  <c r="J111" i="16" s="1"/>
  <c r="I107" i="16"/>
  <c r="J107" i="16" s="1"/>
  <c r="I103" i="16"/>
  <c r="J103" i="16" s="1"/>
  <c r="I99" i="16"/>
  <c r="I95" i="16"/>
  <c r="J95" i="16" s="1"/>
  <c r="I91" i="16"/>
  <c r="J91" i="16" s="1"/>
  <c r="I87" i="16"/>
  <c r="I83" i="16"/>
  <c r="J83" i="16" s="1"/>
  <c r="I79" i="16"/>
  <c r="J79" i="16" s="1"/>
  <c r="I75" i="16"/>
  <c r="J75" i="16" s="1"/>
  <c r="I71" i="16"/>
  <c r="I67" i="16"/>
  <c r="I63" i="16"/>
  <c r="J63" i="16" s="1"/>
  <c r="I59" i="16"/>
  <c r="J59" i="16" s="1"/>
  <c r="I55" i="16"/>
  <c r="I51" i="16"/>
  <c r="J51" i="16" s="1"/>
  <c r="I47" i="16"/>
  <c r="J47" i="16" s="1"/>
  <c r="I43" i="16"/>
  <c r="J43" i="16" s="1"/>
  <c r="I39" i="16"/>
  <c r="J39" i="16" s="1"/>
  <c r="I35" i="16"/>
  <c r="I31" i="16"/>
  <c r="J31" i="16" s="1"/>
  <c r="I27" i="16"/>
  <c r="J27" i="16" s="1"/>
  <c r="I21" i="16"/>
  <c r="I18" i="16"/>
  <c r="J18" i="16" s="1"/>
  <c r="I9" i="16"/>
  <c r="J9" i="16" s="1"/>
  <c r="I6" i="16"/>
  <c r="J6" i="16" s="1"/>
  <c r="I977" i="16"/>
  <c r="I950" i="16"/>
  <c r="I923" i="16"/>
  <c r="J923" i="16" s="1"/>
  <c r="I912" i="16"/>
  <c r="J912" i="16" s="1"/>
  <c r="I886" i="16"/>
  <c r="J886" i="16" s="1"/>
  <c r="I858" i="16"/>
  <c r="J858" i="16" s="1"/>
  <c r="I821" i="16"/>
  <c r="J821" i="16" s="1"/>
  <c r="I765" i="16"/>
  <c r="J765" i="16" s="1"/>
  <c r="I754" i="16"/>
  <c r="J754" i="16" s="1"/>
  <c r="I699" i="16"/>
  <c r="I676" i="16"/>
  <c r="J676" i="16" s="1"/>
  <c r="I665" i="16"/>
  <c r="J665" i="16" s="1"/>
  <c r="I656" i="16"/>
  <c r="I646" i="16"/>
  <c r="J646" i="16" s="1"/>
  <c r="I636" i="16"/>
  <c r="J636" i="16" s="1"/>
  <c r="I627" i="16"/>
  <c r="I600" i="16"/>
  <c r="J600" i="16" s="1"/>
  <c r="I591" i="16"/>
  <c r="I544" i="16"/>
  <c r="I536" i="16"/>
  <c r="I529" i="16"/>
  <c r="I522" i="16"/>
  <c r="I514" i="16"/>
  <c r="J514" i="16" s="1"/>
  <c r="I485" i="16"/>
  <c r="J485" i="16" s="1"/>
  <c r="I477" i="16"/>
  <c r="I471" i="16"/>
  <c r="J471" i="16" s="1"/>
  <c r="I463" i="16"/>
  <c r="J463" i="16" s="1"/>
  <c r="I457" i="16"/>
  <c r="J457" i="16" s="1"/>
  <c r="I439" i="16"/>
  <c r="J439" i="16" s="1"/>
  <c r="I433" i="16"/>
  <c r="I415" i="16"/>
  <c r="J415" i="16" s="1"/>
  <c r="I408" i="16"/>
  <c r="I390" i="16"/>
  <c r="J390" i="16" s="1"/>
  <c r="I384" i="16"/>
  <c r="I366" i="16"/>
  <c r="J366" i="16" s="1"/>
  <c r="I360" i="16"/>
  <c r="J360" i="16" s="1"/>
  <c r="I353" i="16"/>
  <c r="I991" i="16"/>
  <c r="J991" i="16" s="1"/>
  <c r="I867" i="16"/>
  <c r="J867" i="16" s="1"/>
  <c r="I807" i="16"/>
  <c r="I789" i="16"/>
  <c r="J789" i="16" s="1"/>
  <c r="I773" i="16"/>
  <c r="I753" i="16"/>
  <c r="J753" i="16" s="1"/>
  <c r="I734" i="16"/>
  <c r="J734" i="16" s="1"/>
  <c r="I700" i="16"/>
  <c r="I684" i="16"/>
  <c r="J684" i="16" s="1"/>
  <c r="I647" i="16"/>
  <c r="J647" i="16" s="1"/>
  <c r="I618" i="16"/>
  <c r="J618" i="16" s="1"/>
  <c r="I606" i="16"/>
  <c r="J606" i="16" s="1"/>
  <c r="I552" i="16"/>
  <c r="I494" i="16"/>
  <c r="J494" i="16" s="1"/>
  <c r="I482" i="16"/>
  <c r="J482" i="16" s="1"/>
  <c r="I470" i="16"/>
  <c r="I449" i="16"/>
  <c r="I420" i="16"/>
  <c r="J420" i="16" s="1"/>
  <c r="I401" i="16"/>
  <c r="I381" i="16"/>
  <c r="J381" i="16" s="1"/>
  <c r="I371" i="16"/>
  <c r="J371" i="16" s="1"/>
  <c r="I361" i="16"/>
  <c r="J361" i="16" s="1"/>
  <c r="I352" i="16"/>
  <c r="J352" i="16" s="1"/>
  <c r="I343" i="16"/>
  <c r="I335" i="16"/>
  <c r="J335" i="16" s="1"/>
  <c r="I325" i="16"/>
  <c r="J325" i="16" s="1"/>
  <c r="I300" i="16"/>
  <c r="J300" i="16" s="1"/>
  <c r="I292" i="16"/>
  <c r="I283" i="16"/>
  <c r="I276" i="16"/>
  <c r="J276" i="16" s="1"/>
  <c r="I268" i="16"/>
  <c r="I261" i="16"/>
  <c r="J261" i="16" s="1"/>
  <c r="I255" i="16"/>
  <c r="J255" i="16" s="1"/>
  <c r="I247" i="16"/>
  <c r="J247" i="16" s="1"/>
  <c r="I240" i="16"/>
  <c r="J240" i="16" s="1"/>
  <c r="I233" i="16"/>
  <c r="J233" i="16" s="1"/>
  <c r="I225" i="16"/>
  <c r="I219" i="16"/>
  <c r="J219" i="16" s="1"/>
  <c r="I212" i="16"/>
  <c r="J212" i="16" s="1"/>
  <c r="I204" i="16"/>
  <c r="J204" i="16" s="1"/>
  <c r="I197" i="16"/>
  <c r="J197" i="16" s="1"/>
  <c r="I179" i="16"/>
  <c r="J179" i="16" s="1"/>
  <c r="I173" i="16"/>
  <c r="J173" i="16" s="1"/>
  <c r="I155" i="16"/>
  <c r="J155" i="16" s="1"/>
  <c r="I148" i="16"/>
  <c r="I130" i="16"/>
  <c r="J130" i="16" s="1"/>
  <c r="I125" i="16"/>
  <c r="J125" i="16" s="1"/>
  <c r="I120" i="16"/>
  <c r="I114" i="16"/>
  <c r="J114" i="16" s="1"/>
  <c r="I109" i="16"/>
  <c r="J109" i="16" s="1"/>
  <c r="I104" i="16"/>
  <c r="J104" i="16" s="1"/>
  <c r="I98" i="16"/>
  <c r="J98" i="16" s="1"/>
  <c r="I93" i="16"/>
  <c r="I88" i="16"/>
  <c r="I82" i="16"/>
  <c r="J82" i="16" s="1"/>
  <c r="I77" i="16"/>
  <c r="I72" i="16"/>
  <c r="J72" i="16" s="1"/>
  <c r="I66" i="16"/>
  <c r="J66" i="16" s="1"/>
  <c r="I61" i="16"/>
  <c r="I56" i="16"/>
  <c r="J56" i="16" s="1"/>
  <c r="I50" i="16"/>
  <c r="I45" i="16"/>
  <c r="J45" i="16" s="1"/>
  <c r="I40" i="16"/>
  <c r="J40" i="16" s="1"/>
  <c r="I34" i="16"/>
  <c r="I29" i="16"/>
  <c r="J29" i="16" s="1"/>
  <c r="I16" i="16"/>
  <c r="J16" i="16" s="1"/>
  <c r="I967" i="16"/>
  <c r="J967" i="16" s="1"/>
  <c r="I947" i="16"/>
  <c r="J947" i="16" s="1"/>
  <c r="I1005" i="16"/>
  <c r="J1005" i="16" s="1"/>
  <c r="I986" i="16"/>
  <c r="J986" i="16" s="1"/>
  <c r="I964" i="16"/>
  <c r="J964" i="16" s="1"/>
  <c r="I946" i="16"/>
  <c r="I901" i="16"/>
  <c r="I881" i="16"/>
  <c r="J881" i="16" s="1"/>
  <c r="I862" i="16"/>
  <c r="J862" i="16" s="1"/>
  <c r="I840" i="16"/>
  <c r="J840" i="16" s="1"/>
  <c r="I802" i="16"/>
  <c r="I784" i="16"/>
  <c r="J784" i="16" s="1"/>
  <c r="I731" i="16"/>
  <c r="I712" i="16"/>
  <c r="J712" i="16" s="1"/>
  <c r="I696" i="16"/>
  <c r="J696" i="16" s="1"/>
  <c r="I574" i="16"/>
  <c r="J574" i="16" s="1"/>
  <c r="I549" i="16"/>
  <c r="J549" i="16" s="1"/>
  <c r="I513" i="16"/>
  <c r="J513" i="16" s="1"/>
  <c r="I502" i="16"/>
  <c r="J502" i="16" s="1"/>
  <c r="I479" i="16"/>
  <c r="J479" i="16" s="1"/>
  <c r="I447" i="16"/>
  <c r="J447" i="16" s="1"/>
  <c r="I438" i="16"/>
  <c r="J438" i="16" s="1"/>
  <c r="I427" i="16"/>
  <c r="J427" i="16" s="1"/>
  <c r="I418" i="16"/>
  <c r="J418" i="16" s="1"/>
  <c r="I398" i="16"/>
  <c r="J398" i="16" s="1"/>
  <c r="I379" i="16"/>
  <c r="J379" i="16" s="1"/>
  <c r="I370" i="16"/>
  <c r="J370" i="16" s="1"/>
  <c r="I332" i="16"/>
  <c r="J332" i="16" s="1"/>
  <c r="I324" i="16"/>
  <c r="J324" i="16" s="1"/>
  <c r="I315" i="16"/>
  <c r="I289" i="16"/>
  <c r="I281" i="16"/>
  <c r="J281" i="16" s="1"/>
  <c r="I273" i="16"/>
  <c r="I267" i="16"/>
  <c r="I260" i="16"/>
  <c r="I252" i="16"/>
  <c r="J252" i="16" s="1"/>
  <c r="I245" i="16"/>
  <c r="J245" i="16" s="1"/>
  <c r="I239" i="16"/>
  <c r="J239" i="16" s="1"/>
  <c r="I231" i="16"/>
  <c r="J231" i="16" s="1"/>
  <c r="I224" i="16"/>
  <c r="J224" i="16" s="1"/>
  <c r="I217" i="16"/>
  <c r="J217" i="16" s="1"/>
  <c r="I209" i="16"/>
  <c r="J209" i="16" s="1"/>
  <c r="I203" i="16"/>
  <c r="J203" i="16" s="1"/>
  <c r="I196" i="16"/>
  <c r="J196" i="16" s="1"/>
  <c r="I189" i="16"/>
  <c r="I171" i="16"/>
  <c r="J171" i="16" s="1"/>
  <c r="I165" i="16"/>
  <c r="I147" i="16"/>
  <c r="J147" i="16" s="1"/>
  <c r="I141" i="16"/>
  <c r="J141" i="16" s="1"/>
  <c r="I129" i="16"/>
  <c r="J129" i="16" s="1"/>
  <c r="I124" i="16"/>
  <c r="I118" i="16"/>
  <c r="J118" i="16" s="1"/>
  <c r="I113" i="16"/>
  <c r="I108" i="16"/>
  <c r="J108" i="16" s="1"/>
  <c r="I102" i="16"/>
  <c r="J102" i="16" s="1"/>
  <c r="I97" i="16"/>
  <c r="J97" i="16" s="1"/>
  <c r="I92" i="16"/>
  <c r="J92" i="16" s="1"/>
  <c r="I86" i="16"/>
  <c r="J86" i="16" s="1"/>
  <c r="I11" i="16"/>
  <c r="I14" i="16"/>
  <c r="J14" i="16" s="1"/>
  <c r="I23" i="16"/>
  <c r="J23" i="16" s="1"/>
  <c r="I41" i="16"/>
  <c r="J41" i="16" s="1"/>
  <c r="I53" i="16"/>
  <c r="I65" i="16"/>
  <c r="J65" i="16" s="1"/>
  <c r="I84" i="16"/>
  <c r="J84" i="16" s="1"/>
  <c r="I90" i="16"/>
  <c r="J90" i="16" s="1"/>
  <c r="I105" i="16"/>
  <c r="I112" i="16"/>
  <c r="J112" i="16" s="1"/>
  <c r="I126" i="16"/>
  <c r="J126" i="16" s="1"/>
  <c r="I133" i="16"/>
  <c r="J133" i="16" s="1"/>
  <c r="I157" i="16"/>
  <c r="J157" i="16" s="1"/>
  <c r="I199" i="16"/>
  <c r="J199" i="16" s="1"/>
  <c r="I208" i="16"/>
  <c r="I228" i="16"/>
  <c r="J228" i="16" s="1"/>
  <c r="I236" i="16"/>
  <c r="I256" i="16"/>
  <c r="J256" i="16" s="1"/>
  <c r="I265" i="16"/>
  <c r="J265" i="16" s="1"/>
  <c r="I308" i="16"/>
  <c r="J308" i="16" s="1"/>
  <c r="I341" i="16"/>
  <c r="J341" i="16" s="1"/>
  <c r="I354" i="16"/>
  <c r="J354" i="16" s="1"/>
  <c r="I394" i="16"/>
  <c r="J394" i="16" s="1"/>
  <c r="I444" i="16"/>
  <c r="I458" i="16"/>
  <c r="I472" i="16"/>
  <c r="I504" i="16"/>
  <c r="J504" i="16" s="1"/>
  <c r="I520" i="16"/>
  <c r="I535" i="16"/>
  <c r="J535" i="16" s="1"/>
  <c r="I550" i="16"/>
  <c r="J550" i="16" s="1"/>
  <c r="I584" i="16"/>
  <c r="J584" i="16" s="1"/>
  <c r="I602" i="16"/>
  <c r="J602" i="16" s="1"/>
  <c r="I664" i="16"/>
  <c r="I685" i="16"/>
  <c r="J685" i="16" s="1"/>
  <c r="I707" i="16"/>
  <c r="I733" i="16"/>
  <c r="J733" i="16" s="1"/>
  <c r="I805" i="16"/>
  <c r="I831" i="16"/>
  <c r="J831" i="16" s="1"/>
  <c r="I856" i="16"/>
  <c r="J856" i="16" s="1"/>
  <c r="I882" i="16"/>
  <c r="J882" i="16" s="1"/>
  <c r="I938" i="16"/>
  <c r="J938" i="16" s="1"/>
  <c r="I1004" i="16"/>
  <c r="J1004" i="16" s="1"/>
  <c r="I36" i="16"/>
  <c r="J36" i="16" s="1"/>
  <c r="I48" i="16"/>
  <c r="J48" i="16" s="1"/>
  <c r="I60" i="16"/>
  <c r="J60" i="16" s="1"/>
  <c r="I78" i="16"/>
  <c r="J78" i="16" s="1"/>
  <c r="I143" i="16"/>
  <c r="I151" i="16"/>
  <c r="J151" i="16" s="1"/>
  <c r="I167" i="16"/>
  <c r="J167" i="16" s="1"/>
  <c r="I175" i="16"/>
  <c r="J175" i="16" s="1"/>
  <c r="I183" i="16"/>
  <c r="J183" i="16" s="1"/>
  <c r="I192" i="16"/>
  <c r="I287" i="16"/>
  <c r="I297" i="16"/>
  <c r="J297" i="16" s="1"/>
  <c r="I309" i="16"/>
  <c r="J309" i="16" s="1"/>
  <c r="I320" i="16"/>
  <c r="J320" i="16" s="1"/>
  <c r="I331" i="16"/>
  <c r="I367" i="16"/>
  <c r="J367" i="16" s="1"/>
  <c r="I383" i="16"/>
  <c r="J383" i="16" s="1"/>
  <c r="I407" i="16"/>
  <c r="J407" i="16" s="1"/>
  <c r="I421" i="16"/>
  <c r="J421" i="16" s="1"/>
  <c r="I434" i="16"/>
  <c r="J434" i="16" s="1"/>
  <c r="I445" i="16"/>
  <c r="I461" i="16"/>
  <c r="J461" i="16" s="1"/>
  <c r="I490" i="16"/>
  <c r="I521" i="16"/>
  <c r="J521" i="16" s="1"/>
  <c r="I553" i="16"/>
  <c r="J553" i="16" s="1"/>
  <c r="I568" i="16"/>
  <c r="I623" i="16"/>
  <c r="I643" i="16"/>
  <c r="J643" i="16" s="1"/>
  <c r="I689" i="16"/>
  <c r="I739" i="16"/>
  <c r="J739" i="16" s="1"/>
  <c r="I762" i="16"/>
  <c r="I810" i="16"/>
  <c r="J810" i="16" s="1"/>
  <c r="I857" i="16"/>
  <c r="J857" i="16" s="1"/>
  <c r="I888" i="16"/>
  <c r="I913" i="16"/>
  <c r="I940" i="16"/>
  <c r="J940" i="16" s="1"/>
  <c r="I978" i="16"/>
  <c r="I15" i="16"/>
  <c r="J15" i="16" s="1"/>
  <c r="I20" i="16"/>
  <c r="I30" i="16"/>
  <c r="J30" i="16" s="1"/>
  <c r="I42" i="16"/>
  <c r="J42" i="16" s="1"/>
  <c r="I54" i="16"/>
  <c r="I73" i="16"/>
  <c r="J73" i="16" s="1"/>
  <c r="I85" i="16"/>
  <c r="J85" i="16" s="1"/>
  <c r="I100" i="16"/>
  <c r="I106" i="16"/>
  <c r="J106" i="16" s="1"/>
  <c r="I121" i="16"/>
  <c r="I128" i="16"/>
  <c r="J128" i="16" s="1"/>
  <c r="I135" i="16"/>
  <c r="J135" i="16" s="1"/>
  <c r="I160" i="16"/>
  <c r="J160" i="16" s="1"/>
  <c r="I184" i="16"/>
  <c r="J184" i="16" s="1"/>
  <c r="I201" i="16"/>
  <c r="J201" i="16" s="1"/>
  <c r="I220" i="16"/>
  <c r="J220" i="16" s="1"/>
  <c r="I229" i="16"/>
  <c r="J229" i="16" s="1"/>
  <c r="I249" i="16"/>
  <c r="J249" i="16" s="1"/>
  <c r="I257" i="16"/>
  <c r="J257" i="16" s="1"/>
  <c r="I277" i="16"/>
  <c r="J277" i="16" s="1"/>
  <c r="I299" i="16"/>
  <c r="I311" i="16"/>
  <c r="J311" i="16" s="1"/>
  <c r="I321" i="16"/>
  <c r="J321" i="16" s="1"/>
  <c r="I345" i="16"/>
  <c r="J345" i="16" s="1"/>
  <c r="I357" i="16"/>
  <c r="J357" i="16" s="1"/>
  <c r="I395" i="16"/>
  <c r="I422" i="16"/>
  <c r="J422" i="16" s="1"/>
  <c r="I462" i="16"/>
  <c r="J462" i="16" s="1"/>
  <c r="I476" i="16"/>
  <c r="J476" i="16" s="1"/>
  <c r="I491" i="16"/>
  <c r="I508" i="16"/>
  <c r="J508" i="16" s="1"/>
  <c r="I555" i="16"/>
  <c r="J555" i="16" s="1"/>
  <c r="I590" i="16"/>
  <c r="J590" i="16" s="1"/>
  <c r="I607" i="16"/>
  <c r="I625" i="16"/>
  <c r="I691" i="16"/>
  <c r="J691" i="16" s="1"/>
  <c r="I741" i="16"/>
  <c r="I786" i="16"/>
  <c r="J786" i="16" s="1"/>
  <c r="I811" i="16"/>
  <c r="J811" i="16" s="1"/>
  <c r="I833" i="16"/>
  <c r="J833" i="16" s="1"/>
  <c r="I863" i="16"/>
  <c r="J863" i="16" s="1"/>
  <c r="I894" i="16"/>
  <c r="I953" i="16"/>
  <c r="J953" i="16" s="1"/>
  <c r="I979" i="16"/>
  <c r="J979" i="16" s="1"/>
  <c r="E27" i="17"/>
  <c r="F21" i="1" s="1"/>
  <c r="D27" i="17"/>
  <c r="D19" i="17"/>
  <c r="A23" i="17" s="1"/>
  <c r="D23" i="16" l="1"/>
  <c r="D22" i="16"/>
  <c r="D21" i="16"/>
  <c r="A23" i="7"/>
  <c r="E27" i="7"/>
  <c r="F11" i="1" s="1"/>
  <c r="D27" i="7"/>
  <c r="E11" i="1"/>
  <c r="E26" i="11"/>
  <c r="F15" i="1" s="1"/>
  <c r="D26" i="11"/>
  <c r="E15" i="1"/>
  <c r="D20" i="16"/>
  <c r="D25" i="16" l="1"/>
  <c r="E20" i="1"/>
</calcChain>
</file>

<file path=xl/sharedStrings.xml><?xml version="1.0" encoding="utf-8"?>
<sst xmlns="http://schemas.openxmlformats.org/spreadsheetml/2006/main" count="1352" uniqueCount="683">
  <si>
    <t>FINANCIAL RISK MANAGEMENT — SESSION 5 SOLVED PROBLEMS</t>
  </si>
  <si>
    <t>Valuation and Scenario Analysis: The Risk-Neutral and Real Worlds  (Hull, Risk Management and Financial Institutions, 5th ed., Chapter 7)</t>
  </si>
  <si>
    <t>NMIMS Bangalore  ·  MBA Trim 5  ·  Course: Financial Risk Management  ·  Prof. V. Ravichandran</t>
  </si>
  <si>
    <t>→ Q&amp;A Chapter 7: 67 questions with answers on every section of the chapter (click)</t>
  </si>
  <si>
    <t>PROBLEMS — click a sheet name to open it</t>
  </si>
  <si>
    <t>No.</t>
  </si>
  <si>
    <t>Sheet</t>
  </si>
  <si>
    <t>Topic</t>
  </si>
  <si>
    <t>Reference</t>
  </si>
  <si>
    <t>Key answer</t>
  </si>
  <si>
    <t>Check</t>
  </si>
  <si>
    <t>P1 Prob Above</t>
  </si>
  <si>
    <t>Probability above a level</t>
  </si>
  <si>
    <t>Hull 7.1</t>
  </si>
  <si>
    <t>P2 Percentile</t>
  </si>
  <si>
    <t>Price exceeded with probability q</t>
  </si>
  <si>
    <t>Hull 7.2</t>
  </si>
  <si>
    <t>P3 Prob Below</t>
  </si>
  <si>
    <t>Probability below a level</t>
  </si>
  <si>
    <t>Hull 7.10</t>
  </si>
  <si>
    <t>P4 ITC Data</t>
  </si>
  <si>
    <t>Historical μ, σ and probability</t>
  </si>
  <si>
    <t>Excel lab</t>
  </si>
  <si>
    <t>—</t>
  </si>
  <si>
    <t>P5 Forward</t>
  </si>
  <si>
    <t>Forward contract value</t>
  </si>
  <si>
    <t>Hull 7.2.1</t>
  </si>
  <si>
    <t>P6 Binary Two Worlds</t>
  </si>
  <si>
    <t>Binary option — both worlds</t>
  </si>
  <si>
    <t>Hull 7.2.2</t>
  </si>
  <si>
    <t>P7 Binary 7.12</t>
  </si>
  <si>
    <t>Binary option ($500)</t>
  </si>
  <si>
    <t>Hull 7.12</t>
  </si>
  <si>
    <t>P8 Binary 7.6</t>
  </si>
  <si>
    <t>Binary option ($100)</t>
  </si>
  <si>
    <t>Hull 7.6</t>
  </si>
  <si>
    <t>P9 State Prices</t>
  </si>
  <si>
    <t>State prices and risk-neutral PD</t>
  </si>
  <si>
    <t>Hull 7.5</t>
  </si>
  <si>
    <t>P10 VaR Shares</t>
  </si>
  <si>
    <t>Worst-case loss (VaR preview)</t>
  </si>
  <si>
    <t>Hull 7.3</t>
  </si>
  <si>
    <t>P11 Worst Case</t>
  </si>
  <si>
    <t>Worst-case portfolio value</t>
  </si>
  <si>
    <t>Hull 7.11</t>
  </si>
  <si>
    <t>P12 PNB SBI</t>
  </si>
  <si>
    <t>Indian banks — worst-case loss</t>
  </si>
  <si>
    <t>Class sheet 02</t>
  </si>
  <si>
    <t>P13 Both Worlds</t>
  </si>
  <si>
    <t>Both worlds — short forward</t>
  </si>
  <si>
    <t>Hull 7.4</t>
  </si>
  <si>
    <t>P14 Monte Carlo</t>
  </si>
  <si>
    <t>Monte Carlo — 1,000 scenarios</t>
  </si>
  <si>
    <t>≈ P13</t>
  </si>
  <si>
    <t>P15 CAPM Lambda</t>
  </si>
  <si>
    <t>CAPM and market price of risk</t>
  </si>
  <si>
    <t>COLOUR LEGEND</t>
  </si>
  <si>
    <t>Blue on yellow</t>
  </si>
  <si>
    <t>Input — change it and the sheet recalculates</t>
  </si>
  <si>
    <t>Black</t>
  </si>
  <si>
    <t>Formula — do not overwrite</t>
  </si>
  <si>
    <t>Green</t>
  </si>
  <si>
    <t>Link to another cell or sheet</t>
  </si>
  <si>
    <t>Red on yellow</t>
  </si>
  <si>
    <t>Key answer for the problem</t>
  </si>
  <si>
    <t>Blue box</t>
  </si>
  <si>
    <t>Answer sentence built from the results</t>
  </si>
  <si>
    <t>MATCH / CHECK</t>
  </si>
  <si>
    <t>Workbook result vs textbook or slide answer</t>
  </si>
  <si>
    <t>How to use: work each problem by hand first, then open its sheet. Each sheet shows GIVEN → STEP-BY-STEP SOLUTION (with the Excel formula used) → ANSWER → CHECK → INTERPRETATION. Real-world problems use μ; valuation problems use r; Problems 6 and 13–14 use both.</t>
  </si>
  <si>
    <t>CHAPTER 7 — QUESTIONS AND ANSWERS</t>
  </si>
  <si>
    <t>67 questions covering every section of Hull, Risk Management and Financial Institutions (5th ed.), Chapter 7 — Valuation and Scenario Analysis: The Risk-Neutral and Real Worlds. Includes all end-of-chapter Practice Questions (7.1–7.9) and Further Questions (7.10–7.12).</t>
  </si>
  <si>
    <t>NMIMS Bangalore  ·  MBA Trim 5  ·  Course: Financial Risk Management  ·  Tip: hide column E (Answer) to use this tab as a self-test; the last column links to the worked sheet.</t>
  </si>
  <si>
    <t>INTRODUCTION — VALUATION vs SCENARIO ANALYSIS</t>
  </si>
  <si>
    <t>Section</t>
  </si>
  <si>
    <t>Type</t>
  </si>
  <si>
    <t>Question</t>
  </si>
  <si>
    <t>Answer</t>
  </si>
  <si>
    <t>Worked sheet</t>
  </si>
  <si>
    <t>Intro</t>
  </si>
  <si>
    <t>Concept</t>
  </si>
  <si>
    <t>What are the two activities discussed in Chapter 7, and how do their objectives differ?</t>
  </si>
  <si>
    <t>Valuation estimates the present value of future cash flows: it averages the cash flows across all possible outcomes and discounts that average back to today. Scenario analysis explores the full range of situations that might exist at a future time, with most attention on adverse outcomes — it answers 'How bad can things get?'. Both estimate future cash flows, but valuation focuses on the average and scenario analysis on the extremes.</t>
  </si>
  <si>
    <t>Valuation focuses on ______ outcomes and scenario analysis on ______ outcomes. Illustrate with Hull's example of selling call options.</t>
  </si>
  <si>
    <t>Average vs extreme. A company sells 1 million one-year calls (S₀ = $50, K = $55). Their theoretical value, $4.5 mn, is the present value of the AVERAGE payoff. A scenario analysis shows a 5% chance that S rises above $80, which would cost the company more than $20 mn net — an EXTREME outcome.</t>
  </si>
  <si>
    <t>Numerical</t>
  </si>
  <si>
    <t>A company sells 1 million one-year European calls (S₀ = $50, K = $55) for $5 mn; their theoretical value is $4.5 mn. (a) What profit does it book? (b) What is the net cost if the stock ends at $80?</t>
  </si>
  <si>
    <t>(a) Profit booked = premium − value = 5.0 − 4.5 = $0.5 mn.
(b) Payoff = 1 mn × max(80 − 55, 0) = $25 mn; net cost = 25 − 5 = $20 mn. With a 5% chance of S &gt; $80, there is a 5% chance the deal costs MORE than $20 mn.</t>
  </si>
  <si>
    <t>Which 'world' should be used for (a) valuation and (b) scenario analysis?</t>
  </si>
  <si>
    <t>(a) Valuation: the risk-neutral world — assets grow at the risk-free rate r and expected payoffs are discounted at r. (b) Scenario analysis: the real world — market variables grow at their real-world expected rates μ. Risk managers are not interested in outcomes in a hypothetical risk-neutral world.</t>
  </si>
  <si>
    <t>Why are future cash flows NOT discounted back to today in a scenario analysis?</t>
  </si>
  <si>
    <t>Because the objective is not a price. Scenario analysis asks what the portfolio might be worth (or lose) at a future horizon date, so the distribution of outcomes at that date is what matters.</t>
  </si>
  <si>
    <t>SECTION 7.1 — VOLATILITY AND ASSET PRICES</t>
  </si>
  <si>
    <t>7.1</t>
  </si>
  <si>
    <t>State the probability distribution Hull assumes for the asset price S_T at time T (equation 7.1).</t>
  </si>
  <si>
    <t>ln S_T ~ φ[ ln S₀ + (μ − σ²/2)T , σ²T ], where φ(m, v) is a normal distribution with mean m and variance v. The asset has a constant expected growth rate μ (continuously compounded) and constant volatility σ.</t>
  </si>
  <si>
    <t>What does it mean to say S_T is lognormally distributed? State two practical implications.</t>
  </si>
  <si>
    <t>The natural log of S_T is normally distributed. Implications: (1) the price can never be negative; (2) the distribution is skewed to the right — a long upper tail, so the mean exceeds the median.</t>
  </si>
  <si>
    <t>What are the mean and standard deviation of ln S_T?</t>
  </si>
  <si>
    <t>Mean = ln S₀ + (μ − σ²/2)T.  Standard deviation = σ√T.</t>
  </si>
  <si>
    <t>Why does the drift term use (μ − σ²/2) rather than μ?</t>
  </si>
  <si>
    <t>μ is the expected growth rate of the PRICE, so E(S_T) = S₀e^(μT). The expected value of the LOG is lower by σ²/2 per year because of the convexity of the exponential function (Jensen's inequality). Consequently the median of S_T is S₀e^((μ−σ²/2)T), below the mean S₀e^(μT).</t>
  </si>
  <si>
    <t>S₀ = $50, μ = 12%, σ = 20%, T = 2 years. Find the median and the expected value of S_T.</t>
  </si>
  <si>
    <t>Median = 50 × e^((0.12 − 0.02)×2) = 50 × e^0.20 = $61.07.  Expected value = 50 × e^(0.12×2) = 50 × e^0.24 = $63.56. Mean &gt; median: right skew.</t>
  </si>
  <si>
    <t>Write equations 7.2 to 7.5 and say what each one gives.</t>
  </si>
  <si>
    <t>d₂ = [ln(S₀/V) + (μ − σ²/2)T] ÷ σ√T.
7.2: Prob(S_T &lt; V) = N(−d₂).
7.3: Prob(S_T &gt; V) = N(d₂).
7.4: price exceeded with probability q: V = S₀exp[(μ − σ²/2)T − N⁻¹(q)σ√T].
7.5: price with probability q of being BELOW: V = S₀exp[(μ − σ²/2)T + N⁻¹(q)σ√T].</t>
  </si>
  <si>
    <t>Hull 7.1: A stock has an expected return of 12% and volatility 20%, currently $50. What is the probability it will be greater than $70 in two years?</t>
  </si>
  <si>
    <t>d₂ = [ln(50/70) + (0.12 − 0.02)×2] ÷ (0.2√2) = (−0.3365 + 0.2000) ÷ 0.2828 = −0.4825.  Prob(S_T &gt; 70) = N(−0.4825) = 0.3147 (31.5%).</t>
  </si>
  <si>
    <t>Hull 7.2: For the stock in 7.1, what price has a 5% probability of being exceeded in two years?</t>
  </si>
  <si>
    <t>V = 50 × exp[0.20 − N⁻¹(0.05) × 0.2828] = 50 × exp[0.20 + 1.6449 × 0.2828] = 50 × e^0.6652 = $97.25.</t>
  </si>
  <si>
    <t>Hull 7.10: Expected return 9%, volatility 25%, price $40. What is the probability it will be less than $30 in 18 months?</t>
  </si>
  <si>
    <t>T = 1.5. d₂ = [ln(40/30) + (0.09 − 0.03125)×1.5] ÷ (0.25√1.5) = (0.2877 + 0.0881) ÷ 0.3062 = 1.2274.  Prob(S_T &lt; 30) = N(−1.2274) = 0.1098 (about 11%).</t>
  </si>
  <si>
    <t>Excel</t>
  </si>
  <si>
    <t>Which Excel functions compute N(x) and N⁻¹(q)? Give the values of N⁻¹(0.05) and N⁻¹(0.01).</t>
  </si>
  <si>
    <t>N(x): =NORMSDIST(x) (or =NORM.S.DIST(x,TRUE)).  N⁻¹(q): =NORMSINV(q) (or =NORM.S.INV(q)).  N⁻¹(0.05) = −1.6449;  N⁻¹(0.01) = −2.3263.</t>
  </si>
  <si>
    <t>How would you estimate μ and σ for a stock from one year of daily closing prices in Excel?</t>
  </si>
  <si>
    <t>1) Daily log returns: =LN(Pt/Pt−1).  2) Daily mean =AVERAGE(returns) and daily SD =STDEV(returns).  3) Annualise: μ = mean × 252; σ = SD × √252 (252 trading days).</t>
  </si>
  <si>
    <t>Application</t>
  </si>
  <si>
    <t>For ITC Ltd (Sep 2024 – Sep 2025) the historical μ is about −19.5% and σ about 16.6%. Would you use this μ in a scenario analysis? Explain.</t>
  </si>
  <si>
    <t>Not on its own. One year of data estimates σ reasonably well, but the mean return is very noisy — a single bad year produced a negative 'expected' return. Hull (7.6) notes that a reliable estimate of μ needs far more data than σ; a CAPM-based estimate (R_F + βE) is usually preferred.</t>
  </si>
  <si>
    <t>SECTION 7.2 — RISK-NEUTRAL VALUATION</t>
  </si>
  <si>
    <t>7.2</t>
  </si>
  <si>
    <t>Hull 7.3: Explain the principle of risk-neutral valuation.</t>
  </si>
  <si>
    <t>A derivative can be valued by assuming the world is risk-neutral: (1) assume the underlying's expected return is the risk-free rate r, (2) calculate the expected payoff of the derivative, (3) discount it at r. The price obtained is correct not only in the risk-neutral world but in all worlds, including the real world.</t>
  </si>
  <si>
    <t>Define a risk-neutral world. Is the real world risk-neutral?</t>
  </si>
  <si>
    <t>An imaginary world in which investors require no compensation for bearing risk, so the expected return on every investment equals the risk-free rate. The real world is NOT risk-neutral — investors require compensation for bearing (systematic) risk.</t>
  </si>
  <si>
    <t>If investors are risk-averse, why does risk-neutral valuation still give the correct price?</t>
  </si>
  <si>
    <t>A derivative is valued in terms of the price of its underlying asset, and that price already reflects investors' risk–return trade-offs. The formula that converts the underlying's price into the derivative's price is independent of risk preferences, so we may use the simplest assumption — risk neutrality.</t>
  </si>
  <si>
    <t>Compare the three steps of risk-neutral valuation with the three steps needed in the real world. Which step makes the real-world route difficult?</t>
  </si>
  <si>
    <t>Risk-neutral: assume growth at r → expected payoff → discount at r.  Real world: 1a estimate real-world expected return (e.g., via beta and CAPM) → 2a real-world expected payoff → 3a discount at an appropriate rate. Step 3a is the hard one: the right discount rate depends on the option's beta (not the stock's) and changes over the option's life as its leverage changes.</t>
  </si>
  <si>
    <t>If a single discount rate is used over an option's life in the real world, why is it 'surprisingly high' for a call and 'surprisingly low' for a put?</t>
  </si>
  <si>
    <t>A call is a leveraged long position in the stock, so it carries more systematic risk than the stock — its equivalent rate is well above the stock's μ. A put behaves like a short position and hedges market risk, so its equivalent rate is below r and usually negative.</t>
  </si>
  <si>
    <t>'When we move from the risk-neutral world to the real world, two things happen.' What are they, and what is their combined effect?</t>
  </si>
  <si>
    <t>(1) The expected payoff from the derivative changes; (2) the discount rate that must be applied changes. The two changes always offset each other exactly, so the derivative's value is the same in both worlds.</t>
  </si>
  <si>
    <t>Hull 7.4: An analyst calculates the expected future value of a stock index in (a) the real world and (b) the risk-neutral world. Which is higher? Why?</t>
  </si>
  <si>
    <t>The real-world value is higher. In the real world the index grows at μ = r + risk premium; in the risk-neutral world it grows only at r. Investors require compensation for the systematic risk of the index, so μ &gt; r.</t>
  </si>
  <si>
    <t>Use risk-neutral valuation to derive the value of a long forward contract on a non-dividend-paying stock (delivery price K, maturity T).</t>
  </si>
  <si>
    <t>Payoff at T = S_T − K.  f = e^(−rT) Ê(S_T − K) = e^(−rT)Ê(S_T) − Ke^(−rT).  In a risk-neutral world Ê(S_T) = S₀e^(rT), so f = S₀ − Ke^(−rT) (equation 7.7). A short forward is worth Ke^(−rT) − S₀ (equation 7.8).</t>
  </si>
  <si>
    <t>Value a two-year short forward on 1 million shares: S₀ = $50, K = $55, r = 3%.</t>
  </si>
  <si>
    <t>Ke^(−rT) − S₀ = 55e^(−0.06) − 50 = 51.797 − 50 = $1.797 per share → $1.80 mn. The real-world expected return is not needed.</t>
  </si>
  <si>
    <t>What is a binary (cash-or-nothing) call option? How is it valued by risk-neutral valuation?</t>
  </si>
  <si>
    <t>It pays a fixed amount Q at T if S_T &gt; V and nothing otherwise. Value = Q × e^(−rT) × N(d₂), where N(d₂) — computed with growth rate r — is the risk-neutral probability that S_T &gt; V.</t>
  </si>
  <si>
    <t>Hull 7.2.2: S₀ = $30; a derivative pays $100 in one year if S_T &gt; $40; r = 3%, μ = 10%, σ = 30%. Find (a) its value, (b) the real-world expected payoff, (c) the implied real-world discount rate.</t>
  </si>
  <si>
    <t>(a) RN d₂ = [ln(30/40) + (0.03 − 0.045)] ÷ 0.3 = −1.0089; N(d₂) = 0.1565; value = 15.65 × e^(−0.03) = $15.19.
(b) RW d₂ = [ln(30/40) + (0.10 − 0.045)] ÷ 0.3 = −0.7756; N = 0.2190; expected payoff = $21.90.
(c) 21.90e^(−R) = 15.19 → R = ln(21.90/15.19) = 36.6%.</t>
  </si>
  <si>
    <t>Hull 7.6: A binary pays $100 if S_T &gt; $30 in three months; S₀ = $25, σ = 30%, r = 3%, μ = 10%. Find the value and the real-world probability of payoff.</t>
  </si>
  <si>
    <t>σ√T = 0.15. RN d₂ = [ln(25/30) + (0.03 − 0.045)×0.25] ÷ 0.15 = −1.2405; N = 0.1074; value = 100 × 0.1074 × e^(−0.0075) = $10.66.  RW d₂ = [ln(25/30) + (0.10 − 0.045)×0.25] ÷ 0.15 = −1.1238; real-world probability = N(−1.1238) = 13.05%.</t>
  </si>
  <si>
    <t>Hull 7.12: A binary pays $500 if S_T &gt; $60 in three months; S₀ = $61, σ = 20%, r = 2%, μ = 8%. Find the value and the real-world expected payoff.</t>
  </si>
  <si>
    <t>σ√T = 0.1. RN d₂ = [ln(61/60) + 0] ÷ 0.1 = 0.1653; N = 0.5656; value = 500 × 0.5656 × e^(−0.005) = $281.41.  RW d₂ = (0.0165 + 0.015) ÷ 0.1 = 0.3153; N = 0.6237; real-world expected payoff = 500 × 0.6237 = $311.87.</t>
  </si>
  <si>
    <t>Why is the implied real-world discount rate for a binary option much higher than the stock's expected return? How does it change as the trigger level rises?</t>
  </si>
  <si>
    <t>The binary leverages the stock's systematic risk, so it needs a higher risk premium. The further out of the money (higher V), the greater the leverage and the higher the rate: for S₀ = $30 it rises from about 20.7% at V = $30 to 57.4% at V = $55.</t>
  </si>
  <si>
    <t>How does the Black–Scholes–Merton formula relate to risk-neutral valuation?</t>
  </si>
  <si>
    <t>BSM follows from c = e^(−rT) Ê[max(S_T − K, 0)] (equation 7.9) and p = e^(−rT) Ê[max(K − S_T, 0)]. In the call formula c = S₀N(d₁) − Ke^(−rT)N(d₂), N(d₂) is the risk-neutral probability that the call is exercised.</t>
  </si>
  <si>
    <t>Show how risk-neutral valuation applies when there are only two discrete outcomes.</t>
  </si>
  <si>
    <t>Let π₁, π₂ be the prices of $1 paid only if outcome 1 (2) occurs. Buying both gives $1 for sure, so π₁ + π₂ = e^(−RT). A derivative paying V₁ or V₂ is worth π₁V₁ + π₂V₂ = e^(−RT)(p₁V₁ + p₂V₂) with pᵢ = πᵢ/(π₁ + π₂). The pᵢ are risk-neutral probabilities: value = expected payoff in the risk-neutral world discounted at R.</t>
  </si>
  <si>
    <t>Hull 7.5: A derivative paying $100 in one year if a company has defaulted is worth $3; one paying $100 if it has not defaulted is worth $95. Find the risk-free rate and the risk-neutral probability of default.</t>
  </si>
  <si>
    <t>π₁ + π₂ = 0.03 + 0.95 = 0.98 = e^(−R) → R = −ln(0.98) = 2.02%.  Risk-neutral PD = 0.03 ÷ 0.98 = 3.06%.</t>
  </si>
  <si>
    <t>How should a credit derivative be valued? How do risk-neutral default probabilities compare with real-world ones?</t>
  </si>
  <si>
    <t>(1) Estimate risk-neutral default probabilities, (2) calculate the expected payoff, (3) discount at the risk-free rate. Risk-neutral PDs are implied from bond yields or CDS spreads (Chapter 19) and are in general HIGHER than real-world PDs, because bond prices include compensation for bearing default risk.</t>
  </si>
  <si>
    <t>A bank (a) prices a CDS for a client and (b) estimates expected credit losses for provisioning. Which default probabilities should it use in each case?</t>
  </si>
  <si>
    <t>(a) Risk-neutral PDs implied from market spreads — it is valuation.  (b) Real-world (historical) PDs — it is a projection of what will actually happen. Using risk-neutral PDs for (b) would overstate expected losses.</t>
  </si>
  <si>
    <t>SECTION 7.3 — SCENARIO ANALYSIS AND GIRSANOV'S THEOREM</t>
  </si>
  <si>
    <t>7.3</t>
  </si>
  <si>
    <t>Hull 7.9: Explain Girsanov's theorem.</t>
  </si>
  <si>
    <t>When we move from a world with one set of risk preferences to a world with another (e.g., from the real world to the risk-neutral world), the expected growth rates of market variables — stock prices, commodity prices, exchange rates, interest rates — change, but their volatilities remain the same.</t>
  </si>
  <si>
    <t>What is the practical consequence of Girsanov's theorem for a risk manager?</t>
  </si>
  <si>
    <t>Volatility can be estimated once (from history or option prices) and used in both worlds. Only the drift needs changing: r for valuation, μ for scenario analysis.</t>
  </si>
  <si>
    <t>You own 10,000 shares at $30; real-world μ = 8%, σ = 25%. How much could you lose in one year at 95% and 99% confidence?</t>
  </si>
  <si>
    <t>Equation 7.5, T = 1. 5% point: 30 × exp[(0.08 − 0.03125) − 1.6449 × 0.25] = $20.88 → loss = 10,000 × (30 − 20.88) = $91,200.  1% point: 30 × exp[0.04875 − 2.3263 × 0.25] = $17.61 → loss = $123,900. These are value-at-risk estimates.</t>
  </si>
  <si>
    <t>Hull 7.11: An investor owns 10,000 shares at $80; μ = 8%, σ = 20%. What is the worst-case value in six months, defined as the value with only a 1% chance of being lower?</t>
  </si>
  <si>
    <t>(μ − σ²/2)T = 0.03; σ√T = 0.1414; N⁻¹(0.01) = −2.3263. V = 80 × exp(0.03 − 0.3290) = $59.33 per share → worst-case portfolio value = $593,250 (vs $800,000 today).</t>
  </si>
  <si>
    <t>In the previous two questions, why is μ used rather than r?</t>
  </si>
  <si>
    <t>Because they are scenario analyses, not valuations. We want the distribution of what the holding might actually be worth, which depends on real-world behaviour. The risk-neutral world is only a pricing device.</t>
  </si>
  <si>
    <t>PNB: 10,000 shares at ₹140, μ = 10%, σ = 5%, 1 year, 1% worst. SBI: 1,000 shares at ₹800, μ = 8%, σ = 15%, 6 months, 2% worst. Find each worst-case loss.</t>
  </si>
  <si>
    <t>PNB: exponent = 0.09875 − 2.3263 × 0.05 = −0.0176 → V = ₹137.56 → loss ₹24,380.  SBI: exponent = (0.08 − 0.01125)×0.5 − 2.0537 × 0.15√0.5 = 0.0344 − 0.2178 = −0.1835 → V = ₹665.91 → loss ₹1,34,091. Note the drift must be multiplied by T = 0.5.</t>
  </si>
  <si>
    <t>Which matters more for a worst-case loss: the expected return or the volatility? Use the PNB sensitivity table.</t>
  </si>
  <si>
    <t>Volatility. For PNB, raising σ from 5% to 20% (at μ = 10%) increases the 1% loss from about ₹24,000 to ₹4.5 lakh, whereas raising μ from 5% to 10% reduces it by only ₹46,000–67,000 in each row.</t>
  </si>
  <si>
    <t>SECTION 7.4 — WHEN BOTH WORLDS HAVE TO BE USED</t>
  </si>
  <si>
    <t>7.4</t>
  </si>
  <si>
    <t>Hull 7.7: Explain why it is sometimes necessary to work in both the real world and the risk-neutral world when carrying out a scenario analysis to determine a confidence interval for the value of a portfolio in one year.</t>
  </si>
  <si>
    <t>The real world is used to generate scenarios for the market variables out to the one-year horizon. The risk-neutral world is then used to VALUE all outstanding derivatives in the portfolio at that horizon for each scenario. The resulting distribution of portfolio values gives the confidence interval.</t>
  </si>
  <si>
    <t>A portfolio is a 2-year forward to SELL 1 mn shares; S₀ = $50, K = $55, r = 3%, μ = 10%, σ = 30%. What value has only a 1% chance of being worse in six months?</t>
  </si>
  <si>
    <t>Real world (eq. 7.4): S* = 50 × exp[(0.10 − 0.045)×0.5 + 2.3263 × 0.3√0.5] = $84.18.  Risk-neutral (eq. 7.8, 1.5 years left): f = 55e^(−0.03×1.5) − 84.18 = 52.58 − 84.18 = −$31.61 per share → −$31.61 mn. (Today it is worth +$1.80 mn.)</t>
  </si>
  <si>
    <t>In the forward example, why does the stock price with a 1% chance of being EXCEEDED give the portfolio value with a 1% chance of being WORSE?</t>
  </si>
  <si>
    <t>The short forward's value falls as the stock price rises — the relationship is monotonic. So the top 1% of stock prices corresponds exactly to the bottom 1% of contract values.</t>
  </si>
  <si>
    <t>SECTION 7.5 — THE CALCULATIONS IN PRACTICE</t>
  </si>
  <si>
    <t>7.5</t>
  </si>
  <si>
    <t>How is a scenario analysis carried out for a portfolio containing many instruments?</t>
  </si>
  <si>
    <t>Generate many real-world scenarios for the market variables between today and the horizon; value the whole portfolio in each scenario (using risk-neutral valuation for derivatives); rank the outcomes; read off the required percentile. With 1,000 scenarios the loss with a 1% probability of being exceeded is the 10th worst.</t>
  </si>
  <si>
    <t>Write the equation used to simulate a stock price in steps of Δt. What is ε, and how is it generated in Excel?</t>
  </si>
  <si>
    <t>S(t+Δt) = S(t) exp[(μ − σ²/2)Δt + εσ√Δt].  ε is a random sample from a standard normal distribution — in Excel =NORMSINV(RAND()).</t>
  </si>
  <si>
    <t>S = $50, μ = 10%, σ = 30%, Δt = 1 month, ε = 0.80. Simulate next month's price.</t>
  </si>
  <si>
    <t>Drift = (0.10 − 0.045)/12 = 0.00458; σ√Δt = 0.3 × √(1/12) = 0.0866; shock = 0.80 × 0.0866 = 0.0693. S = 50 × e^(0.00458 + 0.0693) = 50 × 1.0767 = $53.83.</t>
  </si>
  <si>
    <t>Hull 7.8: Explain the meaning of mean reversion. For which variables is it usually assumed?</t>
  </si>
  <si>
    <t>Mean reversion is the tendency of a variable, while still exhibiting volatility, to be pulled back towards a long-run average level. It is usually assumed for short-term interest rates, volatilities and commodity prices (rather than for stock prices, indices and exchange rates).</t>
  </si>
  <si>
    <t>How are correlations between market variables reflected in a Monte Carlo scenario analysis?</t>
  </si>
  <si>
    <t>Correlations are estimated from historical data and built into the ε samples: the random draws for the different variables are taken from a multivariate normal distribution with those correlations (method in Chapter 11).</t>
  </si>
  <si>
    <t>Why can scenario analysis be very time-consuming? How do banks cope?</t>
  </si>
  <si>
    <t>On every trial the market variables must be sampled AND every instrument in the portfolio revalued at the horizon. Banks use grid computing (many computers on one job) and sometimes restrict the number of Monte Carlo trials.</t>
  </si>
  <si>
    <t>In the workbook's Monte Carlo sheet, 1,000 scenarios give a 1% worst forward value of about −$30.5 mn against the analytical −$31.61 mn. Why the difference, and how would you reduce it?</t>
  </si>
  <si>
    <t>Sampling error — a percentile estimated from 1,000 random draws is itself random. More trials (or variance-reduction techniques) reduce the error.</t>
  </si>
  <si>
    <t>SECTION 7.6 — ESTIMATING REAL-WORLD PROCESSES</t>
  </si>
  <si>
    <t>7.6</t>
  </si>
  <si>
    <t>Why do we usually know much more about the risk-neutral behaviour of market variables than their real-world behaviour?</t>
  </si>
  <si>
    <t>Risk-neutral: an investment asset must earn r; volatility comes from history or option prices; futures prices give risk-neutral drifts for consumption assets; the term structure gives the risk-neutral process for interest rates. Real-world: expected returns could be estimated from history, but the data required for an accurate estimate is huge — far more than for volatility.</t>
  </si>
  <si>
    <t>How can CAPM be used to estimate a stock's real-world expected return?</t>
  </si>
  <si>
    <t>Estimate the stock's correlation ρ with a market index and compute β = ρσ/σ_M. Then μ = R_F + βE, where E is the expected excess return of the market over the risk-free rate (often 5% or 6%).</t>
  </si>
  <si>
    <t>Define the market price of risk λ and state how it links the real-world and risk-neutral drifts.</t>
  </si>
  <si>
    <t>λ = ρE/σ_M, where ρ is the correlation of the variable's percentage changes with the market. The real-world expected percentage change exceeds the risk-neutral one by λσ.</t>
  </si>
  <si>
    <t>A commodity has ρ = 0.3 with the S&amp;P 500, σ_M = 20%, E = 6% and price volatility 40%. How much higher is its real-world return than its risk-neutral return?</t>
  </si>
  <si>
    <t>λ = 0.3 × 0.06 ÷ 0.20 = 0.09.  Extra drift = λσ = 0.09 × 0.40 = 3.6% per year.</t>
  </si>
  <si>
    <t>What happens if a commodity's return is uncorrelated with the market?</t>
  </si>
  <si>
    <t>ρ = 0 so λ = 0: its expected return can be assumed to be the same in the real world and the risk-neutral world.</t>
  </si>
  <si>
    <t>What is the sign of the market price of risk for interest rates, and what does it imply?</t>
  </si>
  <si>
    <t>Negative — typically −0.1 to −0.2. In the risk-neutral world interest rates grow faster than in the real world, the reverse of stock prices.</t>
  </si>
  <si>
    <t>SUMMARY AND TRUE / FALSE</t>
  </si>
  <si>
    <t>Summary</t>
  </si>
  <si>
    <t>Summarise which assumptions are used for valuation and which for scenario analysis — and when both are needed.</t>
  </si>
  <si>
    <t>Valuation: risk-neutral world — all investment assets earn r, payoffs discounted at r; the result is correct in all worlds. Scenario analysis: real world — variables grow at μ; volatility is the same in both worlds (Girsanov). A portfolio of derivatives needs both: simulate the real world to the horizon, then value the derivatives risk-neutrally at the horizon.</t>
  </si>
  <si>
    <t>T/F</t>
  </si>
  <si>
    <t>True/False</t>
  </si>
  <si>
    <t>Volatility is higher in the real world than in the risk-neutral world.</t>
  </si>
  <si>
    <t>FALSE — by Girsanov's theorem volatility is the same in both worlds; only expected growth rates differ.</t>
  </si>
  <si>
    <t>Risk-neutral valuation assumes that investors actually are risk-neutral.</t>
  </si>
  <si>
    <t>FALSE — it is an artificial device. The price it gives is correct in the real world, where investors are risk-averse.</t>
  </si>
  <si>
    <t>Risk-neutral default probabilities are generally higher than real-world default probabilities.</t>
  </si>
  <si>
    <t>TRUE — they include compensation for bearing default risk.</t>
  </si>
  <si>
    <t>In a scenario analysis, the portfolio's future values are discounted back to today at the risk-free rate.</t>
  </si>
  <si>
    <t>FALSE — scenario analysis looks at values at the horizon; it is not a valuation.</t>
  </si>
  <si>
    <t>The expected return of a stock index is higher in the real world than in the risk-neutral world.</t>
  </si>
  <si>
    <t>TRUE — investors demand a risk premium for the index's systematic risk, so μ &gt; r.</t>
  </si>
  <si>
    <t>For interest rates, the risk-neutral drift is higher than the real-world drift.</t>
  </si>
  <si>
    <t>TRUE — the market price of interest-rate risk is negative.</t>
  </si>
  <si>
    <t>To value a forward contract you need the stock's real-world expected return.</t>
  </si>
  <si>
    <t>FALSE — f = S₀ − Ke^(−rT) uses only S₀, K, r and T.</t>
  </si>
  <si>
    <t>TYPE KEY:  Concept  ·  Numerical  ·  Excel  ·  Application  ·  True/False</t>
  </si>
  <si>
    <t>PROBLEM 1 — PROBABILITY THAT A STOCK ENDS ABOVE A LEVEL</t>
  </si>
  <si>
    <t>A stock has an expected return of 12% and a volatility of 20%. It is currently $50. What is the probability that it will be greater than $70 in two years?</t>
  </si>
  <si>
    <t>Source: Hull, RMFI 5e, Problem 7.1  |  Equation 7.3  |  Real world (uses μ)   |   NMIMS Bangalore  ·  MBA Trim 5  ·  Course: Financial Risk Management  ·  Session 5 — Valuation and Scenario Analysis: The Risk-Neutral and Real Worlds</t>
  </si>
  <si>
    <t>GIVEN  —  inputs in blue on yellow can be changed</t>
  </si>
  <si>
    <t>Input</t>
  </si>
  <si>
    <t>Symbol</t>
  </si>
  <si>
    <t>Value</t>
  </si>
  <si>
    <t>Unit / note</t>
  </si>
  <si>
    <t>Current stock price</t>
  </si>
  <si>
    <t>S₀</t>
  </si>
  <si>
    <t>today</t>
  </si>
  <si>
    <t>Target level</t>
  </si>
  <si>
    <t>V</t>
  </si>
  <si>
    <t>Expected return (real world)</t>
  </si>
  <si>
    <t>μ</t>
  </si>
  <si>
    <t>per annum, continuously compounded</t>
  </si>
  <si>
    <t>Volatility</t>
  </si>
  <si>
    <t>σ</t>
  </si>
  <si>
    <t>per annum</t>
  </si>
  <si>
    <t>Time horizon</t>
  </si>
  <si>
    <t>T</t>
  </si>
  <si>
    <t>years</t>
  </si>
  <si>
    <t>SOLUTION  —  STEP BY STEP</t>
  </si>
  <si>
    <t>Step</t>
  </si>
  <si>
    <t>Formula / working</t>
  </si>
  <si>
    <t>Result</t>
  </si>
  <si>
    <t>Excel formula used</t>
  </si>
  <si>
    <t>Step 1 — ln(S₀/V)</t>
  </si>
  <si>
    <t>lnSV</t>
  </si>
  <si>
    <t>ln(50 / 70)</t>
  </si>
  <si>
    <t>=LN($C$8/$C$9)</t>
  </si>
  <si>
    <t>Step 2 — drift term</t>
  </si>
  <si>
    <t>drift</t>
  </si>
  <si>
    <t>(μ − σ²/2) × T</t>
  </si>
  <si>
    <t>=($C$10-$C$11^2/2)*$C$12</t>
  </si>
  <si>
    <t>Step 3 — σ√T</t>
  </si>
  <si>
    <t>sdT</t>
  </si>
  <si>
    <t>σ × √T</t>
  </si>
  <si>
    <t>=$C$11*SQRT($C$12)</t>
  </si>
  <si>
    <t>Step 4 — d₂</t>
  </si>
  <si>
    <t>d2</t>
  </si>
  <si>
    <t>d₂ = [ln(S₀/V) + (μ − σ²/2)T] ÷ σ√T</t>
  </si>
  <si>
    <t>=($D$16+$D$17)/$D$18</t>
  </si>
  <si>
    <t>Step 5 — Prob(S_T &gt; V) = N(d₂)</t>
  </si>
  <si>
    <t>P</t>
  </si>
  <si>
    <t>N(d₂) — Excel NORMSDIST</t>
  </si>
  <si>
    <t>=NORMSDIST($D$19)</t>
  </si>
  <si>
    <t>CHECK AGAINST THE TEXTBOOK / SLIDE ANSWER</t>
  </si>
  <si>
    <t>Item</t>
  </si>
  <si>
    <t>Expected answer</t>
  </si>
  <si>
    <t>Workbook result</t>
  </si>
  <si>
    <t>Status</t>
  </si>
  <si>
    <t>Prob(S_T &gt; 70)</t>
  </si>
  <si>
    <t>Interpretation: We used the real-world expected return μ = 12%, so this is a real-world probability — the kind used in scenario analysis, not in valuation.</t>
  </si>
  <si>
    <t>PROBLEM 2 — PRICE WITH A GIVEN PROBABILITY OF BEING EXCEEDED</t>
  </si>
  <si>
    <t>Same stock as Problem 1. What is the stock price that has a 5% probability of being exceeded in two years?</t>
  </si>
  <si>
    <t>Source: Hull, RMFI 5e, Problem 7.2  |  Equation 7.4   |   NMIMS Bangalore  ·  MBA Trim 5  ·  Course: Financial Risk Management  ·  Session 5 — Valuation and Scenario Analysis: The Risk-Neutral and Real Worlds</t>
  </si>
  <si>
    <t>Expected return</t>
  </si>
  <si>
    <t>real world</t>
  </si>
  <si>
    <t>Probability of being exceeded</t>
  </si>
  <si>
    <t>q</t>
  </si>
  <si>
    <t>upper tail</t>
  </si>
  <si>
    <t>Step 1 — inverse normal</t>
  </si>
  <si>
    <t>Ninv</t>
  </si>
  <si>
    <t>N⁻¹(q) — Excel NORMSINV</t>
  </si>
  <si>
    <t>=NORMSINV($C$12)</t>
  </si>
  <si>
    <t>=($C$9-$C$10^2/2)*$C$11</t>
  </si>
  <si>
    <t>=$C$10*SQRT($C$11)</t>
  </si>
  <si>
    <t>Step 4 — exponent</t>
  </si>
  <si>
    <t>expo</t>
  </si>
  <si>
    <t>(μ − σ²/2)T − N⁻¹(q)σ√T</t>
  </si>
  <si>
    <t>=$D$17-$D$16*$D$18</t>
  </si>
  <si>
    <t>Step 5 — V = S₀ × e^(exponent)</t>
  </si>
  <si>
    <t>S₀ exp[ … ]</t>
  </si>
  <si>
    <t>=$C$8*EXP($D$19)</t>
  </si>
  <si>
    <t>Price exceeded with 5% probability</t>
  </si>
  <si>
    <t>Interpretation: Equation 7.4 uses −N⁻¹(q) because the price is in the UPPER tail. For a lower-tail price (equation 7.5) the sign flips to +N⁻¹(q).</t>
  </si>
  <si>
    <t>PROBLEM 3 — PROBABILITY THAT A STOCK FALLS BELOW A LEVEL</t>
  </si>
  <si>
    <t>A stock price has an expected return of 9% and a volatility of 25%. It is currently $40. What is the probability that it will be less than $30 in 18 months?</t>
  </si>
  <si>
    <t>Source: Hull, RMFI 5e, Further Question 7.10  |  Equation 7.2   |   NMIMS Bangalore  ·  MBA Trim 5  ·  Course: Financial Risk Management  ·  Session 5 — Valuation and Scenario Analysis: The Risk-Neutral and Real Worlds</t>
  </si>
  <si>
    <t>Threshold level</t>
  </si>
  <si>
    <t>18 months = 1.5 years</t>
  </si>
  <si>
    <t>ln(40 / 30)</t>
  </si>
  <si>
    <t>Step 5 — Prob(S_T &lt; V) = N(−d₂)</t>
  </si>
  <si>
    <t>N(−d₂)</t>
  </si>
  <si>
    <t>=NORMSDIST(-$D$19)</t>
  </si>
  <si>
    <t>Complement — Prob(S_T &gt; V)</t>
  </si>
  <si>
    <t>Pc</t>
  </si>
  <si>
    <t>1 − N(−d₂) = N(d₂)</t>
  </si>
  <si>
    <t>=1-$D$20</t>
  </si>
  <si>
    <t>Prob(S_T &lt; 30)</t>
  </si>
  <si>
    <t>Interpretation: A fall of 25% in 18 months has about an 11% real-world probability. Note the minus sign: the lower tail uses N(−d₂).</t>
  </si>
  <si>
    <t>PROBLEM 4 — ESTIMATING μ AND σ FROM DAILY PRICES (ITC LTD)</t>
  </si>
  <si>
    <t>Using one year of daily closing prices for ITC Ltd (23 Sep 2024 – 23 Sep 2025), estimate the annual expected return and volatility, then find the probability that ITC closes above ₹450 in one year.</t>
  </si>
  <si>
    <t>Data: daily closes from the class workbook (pulled with STOCKHISTORY)  |  Equations 7.1 and 7.3   |   NMIMS Bangalore  ·  MBA Trim 5  ·  Course: Financial Risk Management  ·  Session 5 — Valuation and Scenario Analysis: The Risk-Neutral and Real Worlds</t>
  </si>
  <si>
    <t>Date</t>
  </si>
  <si>
    <t>Close (₹)</t>
  </si>
  <si>
    <t>Log return</t>
  </si>
  <si>
    <t>Number of daily prices</t>
  </si>
  <si>
    <t>n</t>
  </si>
  <si>
    <t>linked to the data in columns G:I</t>
  </si>
  <si>
    <t>Current price (last close, 23 Sep 2025)</t>
  </si>
  <si>
    <t>green = linked cell</t>
  </si>
  <si>
    <t>Trading days per year</t>
  </si>
  <si>
    <t>annualisation factor</t>
  </si>
  <si>
    <t>Step 1 — average daily log return</t>
  </si>
  <si>
    <t>rbar</t>
  </si>
  <si>
    <t>AVERAGE of daily ln(Pₜ/Pₜ₋₁)</t>
  </si>
  <si>
    <t>=AVERAGE($I$7:$I$255)</t>
  </si>
  <si>
    <t>Step 2 — daily standard deviation</t>
  </si>
  <si>
    <t>sd</t>
  </si>
  <si>
    <t>STDEV (sample) of daily log returns</t>
  </si>
  <si>
    <t>=STDEV($I$7:$I$255)</t>
  </si>
  <si>
    <t>Step 3 — annual drift μ</t>
  </si>
  <si>
    <t>mu</t>
  </si>
  <si>
    <t>r̄ × 252</t>
  </si>
  <si>
    <t>=$D$16*$C$12</t>
  </si>
  <si>
    <t>Step 4 — annual volatility σ</t>
  </si>
  <si>
    <t>sig</t>
  </si>
  <si>
    <t>s × √252</t>
  </si>
  <si>
    <t>=$D$17*SQRT($C$12)</t>
  </si>
  <si>
    <t>Step 5 — d₂</t>
  </si>
  <si>
    <t>=(LN($C$9/$C$10)+($D$18-$D$19^2/2)*$C$11)/($D$19*SQRT($C$11))</t>
  </si>
  <si>
    <t>Step 6 — Prob(S_T &gt; V) = N(d₂)</t>
  </si>
  <si>
    <t>N(d₂)</t>
  </si>
  <si>
    <t>=NORMSDIST($D$20)</t>
  </si>
  <si>
    <t>Interpretation: One year of data estimates σ reasonably well, but μ is mostly noise: a single bad year makes the expected return negative. This is why Hull (Section 7.6) recommends CAPM-based estimates of the real-world return.</t>
  </si>
  <si>
    <t>PROBLEM 5 — VALUING A FORWARD CONTRACT BY RISK-NEUTRAL VALUATION</t>
  </si>
  <si>
    <t>A two-year forward contract to SELL one million shares of a non-dividend-paying stock. Stock price $50, delivery price $55, risk-free rate 3%. Value the contract today.</t>
  </si>
  <si>
    <t>Source: Hull, RMFI 5e, Section 7.2.1 and 7.4  |  Equations 7.7 and 7.8  |  Risk-neutral world (uses r)   |   NMIMS Bangalore  ·  MBA Trim 5  ·  Course: Financial Risk Management  ·  Session 5 — Valuation and Scenario Analysis: The Risk-Neutral and Real Worlds</t>
  </si>
  <si>
    <t>Delivery price</t>
  </si>
  <si>
    <t>K</t>
  </si>
  <si>
    <t>Risk-free rate</t>
  </si>
  <si>
    <t>r</t>
  </si>
  <si>
    <t>continuously compounded</t>
  </si>
  <si>
    <t>Time to maturity</t>
  </si>
  <si>
    <t>Number of shares</t>
  </si>
  <si>
    <t>Step 1 — discount factor</t>
  </si>
  <si>
    <t>DF</t>
  </si>
  <si>
    <t>e^(−rT)</t>
  </si>
  <si>
    <t>=EXP(-$C$10*$C$11)</t>
  </si>
  <si>
    <t>Step 2 — PV of delivery price</t>
  </si>
  <si>
    <t>PVK</t>
  </si>
  <si>
    <t>K × e^(−rT)</t>
  </si>
  <si>
    <t>=$C$9*$D$16</t>
  </si>
  <si>
    <t>Step 3 — long forward value per share</t>
  </si>
  <si>
    <t>fL</t>
  </si>
  <si>
    <t>S₀ − Ke^(−rT)   (eq. 7.7)</t>
  </si>
  <si>
    <t>=$C$8-$D$17</t>
  </si>
  <si>
    <t>Step 4 — short forward value per share</t>
  </si>
  <si>
    <t>fS</t>
  </si>
  <si>
    <t>Ke^(−rT) − S₀   (eq. 7.8)</t>
  </si>
  <si>
    <t>=$D$17-$C$8</t>
  </si>
  <si>
    <t>Step 5 — short position, total ($ mn)</t>
  </si>
  <si>
    <t>fST</t>
  </si>
  <si>
    <t>n × value ÷ 1,000,000</t>
  </si>
  <si>
    <t>=$C$12*$D$19/1000000</t>
  </si>
  <si>
    <t>Check — forward price</t>
  </si>
  <si>
    <t>F0</t>
  </si>
  <si>
    <t>F₀ = S₀e^(rT)</t>
  </si>
  <si>
    <t>=$C$8*EXP($C$10*$C$11)</t>
  </si>
  <si>
    <t>Short forward value ($ mn)</t>
  </si>
  <si>
    <t>Interpretation: The real-world expected return μ never appears: a forward is valued entirely from S₀, K, r and T. That is risk-neutral valuation at its simplest.</t>
  </si>
  <si>
    <t>PROBLEM 6 — A BINARY OPTION IN THE RISK-NEUTRAL AND REAL WORLDS</t>
  </si>
  <si>
    <t>A stock is $30. A derivative pays $100 in one year if the stock is above $40. r = 3%, real-world expected return 10%, volatility 30%. Value it, find the real-world expected payoff and the implied discount rate.</t>
  </si>
  <si>
    <t>Source: Hull, RMFI 5e, Section 7.2.2  |  Equation 7.3  |  Both worlds   |   NMIMS Bangalore  ·  MBA Trim 5  ·  Course: Financial Risk Management  ·  Session 5 — Valuation and Scenario Analysis: The Risk-Neutral and Real Worlds</t>
  </si>
  <si>
    <t>Trigger level</t>
  </si>
  <si>
    <t>Fixed payoff</t>
  </si>
  <si>
    <t>Q</t>
  </si>
  <si>
    <t>paid if S_T &gt; V</t>
  </si>
  <si>
    <t>risk-neutral growth rate</t>
  </si>
  <si>
    <t>Real-world expected return</t>
  </si>
  <si>
    <t>real-world growth rate</t>
  </si>
  <si>
    <t>same in both worlds (Girsanov)</t>
  </si>
  <si>
    <t>Step 1 — risk-neutral d₂</t>
  </si>
  <si>
    <t>d2r</t>
  </si>
  <si>
    <t>[ln(S₀/V) + (r − σ²/2)T] ÷ σ√T</t>
  </si>
  <si>
    <t>=(LN($C$8/$C$9)+($C$11-$C$13^2/2)*$C$14)/($C$13*SQRT($C$14))</t>
  </si>
  <si>
    <t>Step 2 — risk-neutral probability</t>
  </si>
  <si>
    <t>Pr</t>
  </si>
  <si>
    <t>N(d₂ at r)</t>
  </si>
  <si>
    <t>=NORMSDIST($D$18)</t>
  </si>
  <si>
    <t>Step 3 — risk-neutral expected payoff</t>
  </si>
  <si>
    <t>Er</t>
  </si>
  <si>
    <t>Q × N(d₂)</t>
  </si>
  <si>
    <t>=$C$10*$D$19</t>
  </si>
  <si>
    <t>Step 4 — VALUE of the binary</t>
  </si>
  <si>
    <t>val</t>
  </si>
  <si>
    <t>Q × N(d₂) × e^(−rT)</t>
  </si>
  <si>
    <t>=$D$20*EXP(-$C$11*$C$14)</t>
  </si>
  <si>
    <t>Step 5 — real-world d₂</t>
  </si>
  <si>
    <t>d2m</t>
  </si>
  <si>
    <t>[ln(S₀/V) + (μ − σ²/2)T] ÷ σ√T</t>
  </si>
  <si>
    <t>=(LN($C$8/$C$9)+($C$12-$C$13^2/2)*$C$14)/($C$13*SQRT($C$14))</t>
  </si>
  <si>
    <t>Step 6 — real-world probability</t>
  </si>
  <si>
    <t>Pm</t>
  </si>
  <si>
    <t>N(d₂ at μ)</t>
  </si>
  <si>
    <t>=NORMSDIST($D$22)</t>
  </si>
  <si>
    <t>Step 7 — real-world expected payoff</t>
  </si>
  <si>
    <t>Em</t>
  </si>
  <si>
    <t>Q × N(d₂ at μ)</t>
  </si>
  <si>
    <t>=$C$10*$D$23</t>
  </si>
  <si>
    <t>Step 8 — implied real-world discount rate</t>
  </si>
  <si>
    <t>R</t>
  </si>
  <si>
    <t>ln(E_real ÷ value) ÷ T</t>
  </si>
  <si>
    <t>=LN($D$24/$D$21)/$C$14</t>
  </si>
  <si>
    <t>Value of binary</t>
  </si>
  <si>
    <t>SENSITIVITY — HIDDEN DISCOUNT RATE BY TRIGGER LEVEL V</t>
  </si>
  <si>
    <t>Trigger level V</t>
  </si>
  <si>
    <t>Value (risk-neutral)</t>
  </si>
  <si>
    <t>Real-world payoff</t>
  </si>
  <si>
    <t>Implied rate</t>
  </si>
  <si>
    <t>Interpretation: The two changes offset exactly: a higher real-world payoff discounted at a higher (leveraged) rate gives the same $15.19. The further out of the money, the higher the hidden rate — which is why we value in the risk-neutral world.</t>
  </si>
  <si>
    <t>PROBLEM 7 — VALUE AND REAL-WORLD PAYOFF OF A $500 BINARY</t>
  </si>
  <si>
    <t>A binary option pays off $500 if a stock price is greater than $60 in three months. The current stock price is $61 and its volatility is 20%. The risk-free rate is 2% and the expected return on the stock is 8%. What is the value of the option? What is the real-world expected payoff?</t>
  </si>
  <si>
    <t>Source: Hull, RMFI 5e, Further Question 7.12   |   NMIMS Bangalore  ·  MBA Trim 5  ·  Course: Financial Risk Management  ·  Session 5 — Valuation and Scenario Analysis: The Risk-Neutral and Real Worlds</t>
  </si>
  <si>
    <t>3 months</t>
  </si>
  <si>
    <t>Step 3 — (i) VALUE of the option</t>
  </si>
  <si>
    <t>=$C$10*$D$19*EXP(-$C$11*$C$14)</t>
  </si>
  <si>
    <t>Step 4 — real-world d₂</t>
  </si>
  <si>
    <t>Step 5 — real-world probability</t>
  </si>
  <si>
    <t>=NORMSDIST($D$21)</t>
  </si>
  <si>
    <t>Step 6 — (ii) real-world expected payoff</t>
  </si>
  <si>
    <t>=$C$10*$D$22</t>
  </si>
  <si>
    <t>Step 7 — implied discount rate</t>
  </si>
  <si>
    <t>=LN($D$23/$D$20)/$C$14</t>
  </si>
  <si>
    <t>Interpretation: Use N(d₂) — the probability — not d₂ itself, when computing an expected payoff. Multiplying the payoff by d₂ is a common error.</t>
  </si>
  <si>
    <t>PROBLEM 8 — BINARY OPTION AND REAL-WORLD PROBABILITY OF PAYOFF</t>
  </si>
  <si>
    <t>A binary option pays off $100 if a stock price is greater than $30 in three months. The current stock price is $25 and its volatility is 30%. The risk-free rate is 3% and the expected return on the stock is 10%. What is the value of the option? What is the real-world probability that the payoff will be received?</t>
  </si>
  <si>
    <t>Source: Hull, RMFI 5e, Practice Question 7.6   |   NMIMS Bangalore  ·  MBA Trim 5  ·  Course: Financial Risk Management  ·  Session 5 — Valuation and Scenario Analysis: The Risk-Neutral and Real Worlds</t>
  </si>
  <si>
    <t>Step 3 — (a) VALUE of the option</t>
  </si>
  <si>
    <t>Step 5 — (b) real-world probability</t>
  </si>
  <si>
    <t>Interpretation: The real-world probability (with μ) is higher than the risk-neutral probability (with r) because μ &gt; r. The PRICE always comes from the risk-neutral probability.</t>
  </si>
  <si>
    <t>PROBLEM 9 — RISK-FREE RATE AND RISK-NEUTRAL DEFAULT PROBABILITY</t>
  </si>
  <si>
    <t>The value of a derivative that pays off $100 after one year if a company has defaulted during the year is $3. The value of a derivative that pays off $100 after one year if the company has not defaulted is $95. What is the risk-free rate? What is the risk-neutral probability of default?</t>
  </si>
  <si>
    <t>Source: Hull, RMFI 5e, Practice Question 7.5  |  Section 7.2.4–7.2.5  |  Equation 7.10   |   NMIMS Bangalore  ·  MBA Trim 5  ·  Course: Financial Risk Management  ·  Session 5 — Valuation and Scenario Analysis: The Risk-Neutral and Real Worlds</t>
  </si>
  <si>
    <t>Price of $100-if-default claim</t>
  </si>
  <si>
    <t>Price of $100-if-no-default claim</t>
  </si>
  <si>
    <t>Payoff of each claim</t>
  </si>
  <si>
    <t>Time</t>
  </si>
  <si>
    <t>Step 1 — state price (default)</t>
  </si>
  <si>
    <t>pi1</t>
  </si>
  <si>
    <t>π₁ = 3 ÷ 100</t>
  </si>
  <si>
    <t>=$C$8/$C$10</t>
  </si>
  <si>
    <t>Step 2 — state price (no default)</t>
  </si>
  <si>
    <t>pi2</t>
  </si>
  <si>
    <t>π₂ = 95 ÷ 100</t>
  </si>
  <si>
    <t>=$C$9/$C$10</t>
  </si>
  <si>
    <t>Step 3 — discount factor</t>
  </si>
  <si>
    <t>π₁ + π₂ = e^(−RT)</t>
  </si>
  <si>
    <t>=$D$15+$D$16</t>
  </si>
  <si>
    <t>Step 4 — risk-free rate</t>
  </si>
  <si>
    <t>R = −ln(π₁ + π₂) ÷ T</t>
  </si>
  <si>
    <t>=-LN($D$17)/$C$11</t>
  </si>
  <si>
    <t>Step 5 — risk-neutral PD</t>
  </si>
  <si>
    <t>PD</t>
  </si>
  <si>
    <t>p₁ = π₁ ÷ (π₁ + π₂)</t>
  </si>
  <si>
    <t>=$D$15/$D$17</t>
  </si>
  <si>
    <t>Check — reprice the default claim</t>
  </si>
  <si>
    <t>chk</t>
  </si>
  <si>
    <t>e^(−RT) × PD × 100</t>
  </si>
  <si>
    <t>=EXP(-$D$18*$C$11)*$D$19*$C$10</t>
  </si>
  <si>
    <t>Risk-neutral PD</t>
  </si>
  <si>
    <t>Interpretation: Risk-neutral default probabilities implied from market prices are generally HIGHER than real-world (historical) default probabilities, because they include compensation for bearing default risk.</t>
  </si>
  <si>
    <t>PROBLEM 10 — HOW MUCH COULD A SHAREHOLDING LOSE IN ONE YEAR?</t>
  </si>
  <si>
    <t>You own 10,000 shares. The stock price is $30, its real-world expected return is 8% and its volatility is 25%. How much could you lose over one year at 95% and 99% confidence?</t>
  </si>
  <si>
    <t>Source: Hull, RMFI 5e, Section 7.3  |  Equation 7.5  |  Real world   |   NMIMS Bangalore  ·  MBA Trim 5  ·  Course: Financial Risk Management  ·  Session 5 — Valuation and Scenario Analysis: The Risk-Neutral and Real Worlds</t>
  </si>
  <si>
    <t>Horizon</t>
  </si>
  <si>
    <t>Tail probability A</t>
  </si>
  <si>
    <t>95% confidence</t>
  </si>
  <si>
    <t>Tail probability B</t>
  </si>
  <si>
    <t>99% confidence</t>
  </si>
  <si>
    <t>Step 1 — drift term</t>
  </si>
  <si>
    <t>Step 2 — σ√T</t>
  </si>
  <si>
    <t>Step 3 — 5th percentile price</t>
  </si>
  <si>
    <t>V5</t>
  </si>
  <si>
    <t>S₀ exp[drift + N⁻¹(0.05)σ√T]</t>
  </si>
  <si>
    <t>=$C$9*EXP($D$18+NORMSINV($C$13)*$D$19)</t>
  </si>
  <si>
    <t>Step 4 — loss at 95%</t>
  </si>
  <si>
    <t>L95</t>
  </si>
  <si>
    <t>n × (S₀ − V)</t>
  </si>
  <si>
    <t>=$C$8*($C$9-$D$20)</t>
  </si>
  <si>
    <t>Step 5 — 1st percentile price</t>
  </si>
  <si>
    <t>V1</t>
  </si>
  <si>
    <t>S₀ exp[drift + N⁻¹(0.01)σ√T]</t>
  </si>
  <si>
    <t>=$C$9*EXP($D$18+NORMSINV($C$14)*$D$19)</t>
  </si>
  <si>
    <t>Step 6 — loss at 99%</t>
  </si>
  <si>
    <t>L99</t>
  </si>
  <si>
    <t>=$C$8*($C$9-$D$22)</t>
  </si>
  <si>
    <t>99% one-year loss</t>
  </si>
  <si>
    <t>Interpretation: This is scenario analysis, so it uses the REAL-WORLD return μ = 8% and nothing is discounted. The two losses are the 95% and 99% one-year value at risk.</t>
  </si>
  <si>
    <t>PROBLEM 11 — WORST-CASE VALUE OF A PORTFOLIO IN SIX MONTHS</t>
  </si>
  <si>
    <t>An investor owns 10,000 shares at $80. Define the worst-case value as the value with only a 1% chance of the actual value being lower. Expected return 8%, volatility 20%. What is the worst-case value in six months?</t>
  </si>
  <si>
    <t>Source: Hull, RMFI 5e, Further Question 7.11  |  Equation 7.5   |   NMIMS Bangalore  ·  MBA Trim 5  ·  Course: Financial Risk Management  ·  Session 5 — Valuation and Scenario Analysis: The Risk-Neutral and Real Worlds</t>
  </si>
  <si>
    <t>6 months</t>
  </si>
  <si>
    <t>Tail probability</t>
  </si>
  <si>
    <t>worst 1%</t>
  </si>
  <si>
    <t>N⁻¹(0.01)</t>
  </si>
  <si>
    <t>=NORMSINV($C$13)</t>
  </si>
  <si>
    <t>Step 3 — drift term</t>
  </si>
  <si>
    <t>Step 4 — worst-case price</t>
  </si>
  <si>
    <t>S₀ exp[drift + N⁻¹(q)σ√T]</t>
  </si>
  <si>
    <t>=$C$9*EXP($D$19+$D$17*$D$18)</t>
  </si>
  <si>
    <t>Step 5 — worst-case portfolio value</t>
  </si>
  <si>
    <t>PV</t>
  </si>
  <si>
    <t>n × V</t>
  </si>
  <si>
    <t>=$C$8*$D$20</t>
  </si>
  <si>
    <t>Step 6 — worst-case loss</t>
  </si>
  <si>
    <t>L</t>
  </si>
  <si>
    <t>n × S₀ − n × V</t>
  </si>
  <si>
    <t>=$C$8*$C$9-$D$21</t>
  </si>
  <si>
    <t>Interpretation: Equation 7.5 (+N⁻¹(q)) gives the LOWER tail. Remember to multiply the drift by T and the volatility by √T.</t>
  </si>
  <si>
    <t>PROBLEM 12 — WORST-CASE LOSS ON INDIAN BANK SHARES (PNB AND SBI)</t>
  </si>
  <si>
    <t>(a) 10,000 PNB shares at ₹140, μ = 10%, σ = 5%, horizon 1 year, worst 1%.  (b) 1,000 SBI shares at ₹800, μ = 8%, σ = 15%, horizon 6 months, worst 2%. Find the worst-case value and loss for each.</t>
  </si>
  <si>
    <t>Source: class workbook, sheet 02 (illustrative inputs)  |  Equation 7.5   |   NMIMS Bangalore  ·  MBA Trim 5  ·  Course: Financial Risk Management  ·  Session 5 — Valuation and Scenario Analysis: The Risk-Neutral and Real Worlds</t>
  </si>
  <si>
    <t>PNB — shares</t>
  </si>
  <si>
    <t>PNB — price</t>
  </si>
  <si>
    <t>PNB — expected return</t>
  </si>
  <si>
    <t>PNB — volatility</t>
  </si>
  <si>
    <t>PNB — horizon</t>
  </si>
  <si>
    <t>PNB — tail probability</t>
  </si>
  <si>
    <t>SBI — shares</t>
  </si>
  <si>
    <t>SBI — price</t>
  </si>
  <si>
    <t>SBI — expected return</t>
  </si>
  <si>
    <t>SBI — volatility</t>
  </si>
  <si>
    <t>SBI — horizon</t>
  </si>
  <si>
    <t>SBI — tail probability</t>
  </si>
  <si>
    <t>PNB 1 — exponent</t>
  </si>
  <si>
    <t>eP</t>
  </si>
  <si>
    <t>(μ − σ²/2)T + N⁻¹(q)σ√T</t>
  </si>
  <si>
    <t>=($C$10-$C$11^2/2)*$C$12+NORMSINV($C$13)*$C$11*SQRT($C$12)</t>
  </si>
  <si>
    <t>PNB 2 — worst-case price</t>
  </si>
  <si>
    <t>VP</t>
  </si>
  <si>
    <t>S₀ × e^(exponent)</t>
  </si>
  <si>
    <t>=$C$9*EXP($D$23)</t>
  </si>
  <si>
    <t>PNB 3 — worst-case loss</t>
  </si>
  <si>
    <t>LP</t>
  </si>
  <si>
    <t>=$C$8*($C$9-$D$24)</t>
  </si>
  <si>
    <t>SBI 1 — exponent</t>
  </si>
  <si>
    <t>eS</t>
  </si>
  <si>
    <t>=($C$16-$C$17^2/2)*$C$18+NORMSINV($C$19)*$C$17*SQRT($C$18)</t>
  </si>
  <si>
    <t>SBI 2 — worst-case price</t>
  </si>
  <si>
    <t>VS</t>
  </si>
  <si>
    <t>=$C$15*EXP($D$26)</t>
  </si>
  <si>
    <t>SBI 3 — worst-case loss</t>
  </si>
  <si>
    <t>LS</t>
  </si>
  <si>
    <t>=$C$14*($C$15-$D$27)</t>
  </si>
  <si>
    <t>SENSITIVITY — PNB 1% WORST-CASE LOSS (₹) BY VOLATILITY (rows) AND EXPECTED RETURN (columns)</t>
  </si>
  <si>
    <t>σ  \  μ</t>
  </si>
  <si>
    <t>Interpretation: Read down a column: raising σ from 5% to 20% multiplies the loss many times. Read across a row: the expected return barely moves it. In the tail, volatility dominates.</t>
  </si>
  <si>
    <t>PROBLEM 13 — SCENARIO ANALYSIS THAT NEEDS BOTH WORLDS</t>
  </si>
  <si>
    <t>A portfolio is a two-year forward to SELL 1 million shares. S₀ = $50, K = $55, r = 3%, real-world expected return 10%, volatility 30%. What is the portfolio value that has only a 1% chance of being worse in six months?</t>
  </si>
  <si>
    <t>Source: Hull, RMFI 5e, Section 7.4  |  Equations 7.4 and 7.8   |   NMIMS Bangalore  ·  MBA Trim 5  ·  Course: Financial Risk Management  ·  Session 5 — Valuation and Scenario Analysis: The Risk-Neutral and Real Worlds</t>
  </si>
  <si>
    <t>for VALUATION</t>
  </si>
  <si>
    <t>for the SCENARIO</t>
  </si>
  <si>
    <t>same in both worlds</t>
  </si>
  <si>
    <t>Forward maturity</t>
  </si>
  <si>
    <t>Scenario horizon</t>
  </si>
  <si>
    <t>t</t>
  </si>
  <si>
    <t>Step 0 — value today (risk-neutral)</t>
  </si>
  <si>
    <t>f0</t>
  </si>
  <si>
    <t>[Ke^(−rT) − S₀] × n ÷ 1 mn</t>
  </si>
  <si>
    <t>=($C$9*EXP(-$C$10*$C$13)-$C$8)*$C$16/1000000</t>
  </si>
  <si>
    <t>Step 1 — REAL WORLD: price exceeded w.p. 1%</t>
  </si>
  <si>
    <t>Sst</t>
  </si>
  <si>
    <t>S₀ exp[(μ − σ²/2)t − N⁻¹(q)σ√t]   (eq. 7.4)</t>
  </si>
  <si>
    <t>=$C$8*EXP(($C$11-$C$12^2/2)*$C$14-NORMSINV($C$15)*$C$12*SQRT($C$14))</t>
  </si>
  <si>
    <t>Step 2 — time left on the forward</t>
  </si>
  <si>
    <t>rem</t>
  </si>
  <si>
    <t>T − t</t>
  </si>
  <si>
    <t>=$C$13-$C$14</t>
  </si>
  <si>
    <t>Step 3 — RISK-NEUTRAL: PV of delivery price</t>
  </si>
  <si>
    <t>K e^(−r(T−t))</t>
  </si>
  <si>
    <t>=$C$9*EXP(-$C$10*$D$22)</t>
  </si>
  <si>
    <t>Step 4 — forward value per share</t>
  </si>
  <si>
    <t>fps</t>
  </si>
  <si>
    <t>Ke^(−r(T−t)) − S*   (eq. 7.8)</t>
  </si>
  <si>
    <t>=$D$23-$D$21</t>
  </si>
  <si>
    <t>Step 5 — 1% worst portfolio value ($ mn)</t>
  </si>
  <si>
    <t>fw</t>
  </si>
  <si>
    <t>n × value ÷ 1 mn</t>
  </si>
  <si>
    <t>=$C$16*$D$24/1000000</t>
  </si>
  <si>
    <t>1% worst value ($ mn)</t>
  </si>
  <si>
    <t>Interpretation: The stock price at the horizon is projected in the REAL world (μ). The forward is then valued at that price in the RISK-NEUTRAL world (r). Because the short forward loses as the stock rises, the upper 1% stock price gives the lower 1% contract value.</t>
  </si>
  <si>
    <t>PROBLEM 14 — MONTE CARLO VERSION OF PROBLEM 13 (1,000 SCENARIOS)</t>
  </si>
  <si>
    <t>Simulate 1,000 real-world stock prices at six months, value the short forward in each scenario risk-neutrally, and read off the 1% worst value. Compare with the analytical answer in Problem 13.</t>
  </si>
  <si>
    <t>Source: Hull, RMFI 5e, Section 7.5  |  S_t = S₀ exp[(μ − σ²/2)t + εσ√t]   |   NMIMS Bangalore  ·  MBA Trim 5  ·  Course: Financial Risk Management  ·  Session 5 — Valuation and Scenario Analysis: The Risk-Neutral and Real Worlds</t>
  </si>
  <si>
    <t>Trial</t>
  </si>
  <si>
    <t>ε ~ N(0,1)</t>
  </si>
  <si>
    <t>S at 6 months</t>
  </si>
  <si>
    <t>Forward value ($ mn)</t>
  </si>
  <si>
    <t>linked to P13 (green)</t>
  </si>
  <si>
    <t>Number of scenarios</t>
  </si>
  <si>
    <t>Step 1 — simulate S at 6 months (col I)</t>
  </si>
  <si>
    <t>S₀ exp[(μ − σ²/2)t + εσ√t] — real world</t>
  </si>
  <si>
    <t>=AVERAGE($I$6:$I$1005)</t>
  </si>
  <si>
    <t>Step 2 — value forward in each (col J)</t>
  </si>
  <si>
    <t>[Ke^(−r(T−t)) − S] × n — risk-neutral; average shown</t>
  </si>
  <si>
    <t>=AVERAGE($J$6:$J$1005)</t>
  </si>
  <si>
    <t>Step 3 — 1% worst value (10th worst of 1,000)</t>
  </si>
  <si>
    <t>mc</t>
  </si>
  <si>
    <t>SMALL(values, 1% × 1,000)</t>
  </si>
  <si>
    <t>=SMALL($J$6:$J$1005,ROUND(0.01*$C$16,0))</t>
  </si>
  <si>
    <t>Step 4 — same via PERCENTILE</t>
  </si>
  <si>
    <t>pc</t>
  </si>
  <si>
    <t>PERCENTILE(values, 0.01)</t>
  </si>
  <si>
    <t>=PERCENTILE($J$6:$J$1005,0.01)</t>
  </si>
  <si>
    <t>Step 5 — analytical answer (Problem 13)</t>
  </si>
  <si>
    <t>an</t>
  </si>
  <si>
    <t>linked to P13</t>
  </si>
  <si>
    <t>='P13 Both Worlds'!$D$25</t>
  </si>
  <si>
    <t>Step 6 — simulation error</t>
  </si>
  <si>
    <t>err</t>
  </si>
  <si>
    <t>Monte Carlo − analytical</t>
  </si>
  <si>
    <t>=$D$22-$D$24</t>
  </si>
  <si>
    <t>Interpretation: With 1,000 trials the simulated 1% point is close to, but not exactly, the analytical −$31.61 mn. More trials shrink the error. To re-draw, replace column H with =NORMSINV(RAND()) and press F9.</t>
  </si>
  <si>
    <t>PROBLEM 15 — ESTIMATING THE REAL-WORLD DRIFT (CAPM AND MARKET PRICE OF RISK)</t>
  </si>
  <si>
    <t>(a) A stock has correlation 0.6 with the market, volatility 30%; market volatility 20%, risk-free 6.5%, market excess return 6% (illustrative). Find β and the CAPM real-world return.  (b) A commodity has ρ = 0.3, σ = 40%, σ_M = 20%, E = 6%. How much higher is its real-world return than its risk-neutral return?</t>
  </si>
  <si>
    <t>Source: Hull, RMFI 5e, Section 7.6  (part (a) inputs are illustrative)   |   NMIMS Bangalore  ·  MBA Trim 5  ·  Course: Financial Risk Management  ·  Session 5 — Valuation and Scenario Analysis: The Risk-Neutral and Real Worlds</t>
  </si>
  <si>
    <t>(a) Correlation with market</t>
  </si>
  <si>
    <t>ρ</t>
  </si>
  <si>
    <t>(a) Stock volatility</t>
  </si>
  <si>
    <t>(a) Market volatility</t>
  </si>
  <si>
    <t>σ_M</t>
  </si>
  <si>
    <t>(a) Risk-free rate</t>
  </si>
  <si>
    <t>R_F</t>
  </si>
  <si>
    <t>(a) Market excess return</t>
  </si>
  <si>
    <t>E</t>
  </si>
  <si>
    <t>(b) Commodity correlation</t>
  </si>
  <si>
    <t>(b) Commodity volatility</t>
  </si>
  <si>
    <t>(a) Step 1 — beta</t>
  </si>
  <si>
    <t>beta</t>
  </si>
  <si>
    <t>β = ρσ ÷ σ_M</t>
  </si>
  <si>
    <t>=$C$8*$C$9/$C$10</t>
  </si>
  <si>
    <t>(a) Step 2 — CAPM real-world return</t>
  </si>
  <si>
    <t>muS</t>
  </si>
  <si>
    <t>μ = R_F + βE</t>
  </si>
  <si>
    <t>=$C$11+$D$18*$C$12</t>
  </si>
  <si>
    <t>(b) Step 1 — market price of risk</t>
  </si>
  <si>
    <t>lam</t>
  </si>
  <si>
    <t>λ = ρE ÷ σ_M</t>
  </si>
  <si>
    <t>=$C$13*$C$12/$C$10</t>
  </si>
  <si>
    <t>(b) Step 2 — extra real-world drift</t>
  </si>
  <si>
    <t>gap</t>
  </si>
  <si>
    <t>μ_real − μ_RN = λσ</t>
  </si>
  <si>
    <t>=$D$20*$C$14</t>
  </si>
  <si>
    <t>Commodity extra drift</t>
  </si>
  <si>
    <t>Interpretation: If a variable is uncorrelated with the market (ρ = 0), λ = 0 and its expected return is the same in both worlds. For interest rates λ is negative, so rates grow faster in the risk-neutral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</si>
</sst>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Red]&quot;($&quot;#,##0.00\);\-"/>
    <numFmt numFmtId="165" formatCode="\$#,##0.00&quot; mn&quot;;[Red]&quot;($&quot;#,##0.00&quot; mn)&quot;;\-"/>
    <numFmt numFmtId="166" formatCode="\$#,##0;[Red]&quot;($&quot;#,##0\);\-"/>
    <numFmt numFmtId="167" formatCode="[&gt;=10000000]\₹##\,##\,##\,##0;[&gt;=100000]\₹##\,##\,##0;\₹#,##0"/>
    <numFmt numFmtId="168" formatCode="0.00&quot; yrs&quot;"/>
    <numFmt numFmtId="169" formatCode="0.0000"/>
    <numFmt numFmtId="170" formatCode="0.0000%"/>
    <numFmt numFmtId="171" formatCode="[&gt;=10000000]\₹##\,##\,##\,##0.00;[&gt;=100000]\₹##\,##\,##0.00;\₹#,##0.00"/>
    <numFmt numFmtId="172" formatCode="0.0%"/>
  </numFmts>
  <fonts count="25" x14ac:knownFonts="1">
    <font>
      <sz val="11"/>
      <color theme="1"/>
      <name val="Calibri"/>
      <family val="2"/>
      <charset val="1"/>
    </font>
    <font>
      <b/>
      <sz val="18"/>
      <color rgb="FFFFFFFF"/>
      <name val="Calibri"/>
      <family val="2"/>
    </font>
    <font>
      <sz val="14"/>
      <color rgb="FF555555"/>
      <name val="Calibri"/>
      <family val="2"/>
    </font>
    <font>
      <i/>
      <sz val="12"/>
      <color rgb="FF777777"/>
      <name val="Calibri"/>
      <family val="2"/>
    </font>
    <font>
      <b/>
      <u/>
      <sz val="14"/>
      <color rgb="FF0563C1"/>
      <name val="Calibri"/>
      <family val="2"/>
    </font>
    <font>
      <b/>
      <sz val="14"/>
      <color rgb="FFFFFFFF"/>
      <name val="Calibri"/>
      <family val="2"/>
    </font>
    <font>
      <b/>
      <sz val="14"/>
      <color rgb="FF000000"/>
      <name val="Calibri"/>
      <family val="2"/>
    </font>
    <font>
      <sz val="14"/>
      <color rgb="FF000000"/>
      <name val="Calibri"/>
      <family val="2"/>
    </font>
    <font>
      <u/>
      <sz val="14"/>
      <color rgb="FF0563C1"/>
      <name val="Calibri"/>
      <family val="2"/>
    </font>
    <font>
      <b/>
      <sz val="14"/>
      <color rgb="FF008000"/>
      <name val="Calibri"/>
      <family val="2"/>
    </font>
    <font>
      <b/>
      <sz val="14"/>
      <color rgb="FF0070C0"/>
      <name val="Calibri"/>
      <family val="2"/>
    </font>
    <font>
      <b/>
      <sz val="14"/>
      <color rgb="FFC00000"/>
      <name val="Calibri"/>
      <family val="2"/>
    </font>
    <font>
      <sz val="12"/>
      <color rgb="FF000000"/>
      <name val="Calibri"/>
      <family val="2"/>
    </font>
    <font>
      <b/>
      <sz val="11"/>
      <color rgb="FF000000"/>
      <name val="Calibri"/>
      <family val="2"/>
    </font>
    <font>
      <b/>
      <sz val="12"/>
      <color rgb="FF000000"/>
      <name val="Calibri"/>
      <family val="2"/>
    </font>
    <font>
      <sz val="12"/>
      <color rgb="FF1F3864"/>
      <name val="Calibri"/>
      <family val="2"/>
    </font>
    <font>
      <u/>
      <sz val="12"/>
      <color rgb="FF0563C1"/>
      <name val="Calibri"/>
      <family val="2"/>
    </font>
    <font>
      <i/>
      <sz val="11"/>
      <color rgb="FF777777"/>
      <name val="Calibri"/>
      <family val="2"/>
    </font>
    <font>
      <sz val="14"/>
      <color rgb="FF0070C0"/>
      <name val="Calibri"/>
      <family val="2"/>
    </font>
    <font>
      <i/>
      <sz val="12"/>
      <color rgb="FF555555"/>
      <name val="Calibri"/>
      <family val="2"/>
    </font>
    <font>
      <sz val="13"/>
      <color rgb="FF000000"/>
      <name val="Calibri"/>
      <family val="2"/>
    </font>
    <font>
      <sz val="11"/>
      <color rgb="FF404040"/>
      <name val="Consolas"/>
      <family val="2"/>
    </font>
    <font>
      <sz val="11"/>
      <color rgb="FF000000"/>
      <name val="Calibri"/>
      <family val="2"/>
    </font>
    <font>
      <sz val="11"/>
      <color rgb="FF0070C0"/>
      <name val="Calibri"/>
      <family val="2"/>
    </font>
    <font>
      <sz val="14"/>
      <color rgb="FF008000"/>
      <name val="Calibri"/>
      <family val="2"/>
    </font>
  </fonts>
  <fills count="8">
    <fill>
      <patternFill patternType="none"/>
    </fill>
    <fill>
      <patternFill patternType="gray125"/>
    </fill>
    <fill>
      <patternFill patternType="solid">
        <fgColor rgb="FF1D2330"/>
        <bgColor rgb="FF1F3864"/>
      </patternFill>
    </fill>
    <fill>
      <patternFill patternType="solid">
        <fgColor rgb="FFE2E3E5"/>
        <bgColor rgb="FFD9EAF7"/>
      </patternFill>
    </fill>
    <fill>
      <patternFill patternType="solid">
        <fgColor rgb="FFE2F0D9"/>
        <bgColor rgb="FFE2E3E5"/>
      </patternFill>
    </fill>
    <fill>
      <patternFill patternType="solid">
        <fgColor rgb="FFFFF2CC"/>
        <bgColor rgb="FFFCE4D6"/>
      </patternFill>
    </fill>
    <fill>
      <patternFill patternType="solid">
        <fgColor rgb="FFD9EAF7"/>
        <bgColor rgb="FFE2E3E5"/>
      </patternFill>
    </fill>
    <fill>
      <patternFill patternType="solid">
        <fgColor rgb="FFFCE4D6"/>
        <bgColor rgb="FFFFF2CC"/>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96">
    <xf numFmtId="0" fontId="0" fillId="0" borderId="0" xfId="0"/>
    <xf numFmtId="0" fontId="17" fillId="0" borderId="0" xfId="0" applyFont="1" applyAlignment="1">
      <alignment horizontal="left" vertical="center" wrapText="1"/>
    </xf>
    <xf numFmtId="0" fontId="2" fillId="0" borderId="0" xfId="0" applyFont="1" applyAlignment="1">
      <alignment horizontal="left" vertical="center" wrapText="1"/>
    </xf>
    <xf numFmtId="0" fontId="1" fillId="2" borderId="0" xfId="0" applyFont="1" applyFill="1" applyAlignment="1">
      <alignment horizontal="center" vertical="center"/>
    </xf>
    <xf numFmtId="0" fontId="14" fillId="3" borderId="0" xfId="0" applyFont="1" applyFill="1" applyAlignment="1">
      <alignment horizontal="center" vertical="center" wrapText="1"/>
    </xf>
    <xf numFmtId="0" fontId="2" fillId="0" borderId="0" xfId="0" applyFont="1" applyAlignment="1">
      <alignment vertical="center" wrapText="1"/>
    </xf>
    <xf numFmtId="0" fontId="6" fillId="5" borderId="0" xfId="0" applyFont="1" applyFill="1" applyAlignment="1">
      <alignment vertical="center" wrapText="1"/>
    </xf>
    <xf numFmtId="0" fontId="7" fillId="0" borderId="0" xfId="0" applyFont="1"/>
    <xf numFmtId="0" fontId="5" fillId="2" borderId="0" xfId="0" applyFont="1" applyFill="1" applyAlignment="1">
      <alignment horizontal="center" vertical="center" wrapText="1"/>
    </xf>
    <xf numFmtId="0" fontId="4" fillId="0" borderId="0" xfId="0" applyFont="1"/>
    <xf numFmtId="0" fontId="3" fillId="0" borderId="0" xfId="0" applyFont="1"/>
    <xf numFmtId="0" fontId="2" fillId="0" borderId="0" xfId="0" applyFont="1" applyAlignment="1">
      <alignment wrapText="1"/>
    </xf>
    <xf numFmtId="0" fontId="1" fillId="2" borderId="0" xfId="0" applyFont="1" applyFill="1" applyAlignment="1">
      <alignment horizontal="center" vertical="center" wrapText="1"/>
    </xf>
    <xf numFmtId="0" fontId="6" fillId="3" borderId="1" xfId="0" applyFont="1" applyFill="1" applyBorder="1" applyAlignment="1">
      <alignment horizontal="center"/>
    </xf>
    <xf numFmtId="0" fontId="7" fillId="0" borderId="1" xfId="0" applyFont="1" applyBorder="1" applyAlignment="1">
      <alignment horizontal="center"/>
    </xf>
    <xf numFmtId="0" fontId="8" fillId="0" borderId="1" xfId="0" applyFont="1" applyBorder="1"/>
    <xf numFmtId="0" fontId="7" fillId="0" borderId="1" xfId="0" applyFont="1" applyBorder="1"/>
    <xf numFmtId="10" fontId="9" fillId="0" borderId="1" xfId="0" applyNumberFormat="1" applyFont="1" applyBorder="1"/>
    <xf numFmtId="0" fontId="9" fillId="4" borderId="1" xfId="0" applyFont="1" applyFill="1" applyBorder="1" applyAlignment="1">
      <alignment horizontal="center"/>
    </xf>
    <xf numFmtId="164" fontId="9" fillId="0" borderId="1" xfId="0" applyNumberFormat="1" applyFont="1" applyBorder="1"/>
    <xf numFmtId="0" fontId="9" fillId="0" borderId="1" xfId="0" applyFont="1" applyBorder="1" applyAlignment="1">
      <alignment horizontal="center"/>
    </xf>
    <xf numFmtId="165" fontId="9" fillId="0" borderId="1" xfId="0" applyNumberFormat="1" applyFont="1" applyBorder="1"/>
    <xf numFmtId="166" fontId="9" fillId="0" borderId="1" xfId="0" applyNumberFormat="1" applyFont="1" applyBorder="1"/>
    <xf numFmtId="167" fontId="9" fillId="0" borderId="1" xfId="0" applyNumberFormat="1" applyFont="1" applyBorder="1"/>
    <xf numFmtId="0" fontId="10" fillId="5" borderId="1" xfId="0" applyFont="1" applyFill="1" applyBorder="1"/>
    <xf numFmtId="0" fontId="6" fillId="0" borderId="1" xfId="0" applyFont="1" applyBorder="1"/>
    <xf numFmtId="0" fontId="9" fillId="0" borderId="1" xfId="0" applyFont="1" applyBorder="1"/>
    <xf numFmtId="0" fontId="11" fillId="5" borderId="1" xfId="0" applyFont="1" applyFill="1" applyBorder="1"/>
    <xf numFmtId="0" fontId="6" fillId="6" borderId="1" xfId="0" applyFont="1" applyFill="1" applyBorder="1"/>
    <xf numFmtId="0" fontId="9" fillId="4" borderId="1" xfId="0" applyFont="1" applyFill="1" applyBorder="1"/>
    <xf numFmtId="0" fontId="6" fillId="3" borderId="1" xfId="0" applyFont="1" applyFill="1" applyBorder="1" applyAlignment="1">
      <alignment horizontal="center" vertical="center"/>
    </xf>
    <xf numFmtId="0" fontId="12" fillId="0" borderId="1" xfId="0" applyFont="1" applyBorder="1" applyAlignment="1">
      <alignment horizontal="center" vertical="top" wrapText="1"/>
    </xf>
    <xf numFmtId="0" fontId="13" fillId="6" borderId="1" xfId="0" applyFont="1" applyFill="1" applyBorder="1" applyAlignment="1">
      <alignment horizontal="center" vertical="top" wrapTex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0" fontId="13" fillId="5" borderId="1" xfId="0" applyFont="1" applyFill="1" applyBorder="1" applyAlignment="1">
      <alignment horizontal="center" vertical="top" wrapText="1"/>
    </xf>
    <xf numFmtId="0" fontId="16" fillId="0" borderId="1" xfId="0" applyFont="1" applyBorder="1" applyAlignment="1">
      <alignment horizontal="center" vertical="top" wrapText="1"/>
    </xf>
    <xf numFmtId="0" fontId="13" fillId="4" borderId="1" xfId="0" applyFont="1" applyFill="1" applyBorder="1" applyAlignment="1">
      <alignment horizontal="center" vertical="top" wrapText="1"/>
    </xf>
    <xf numFmtId="0" fontId="13" fillId="7" borderId="1" xfId="0" applyFont="1" applyFill="1" applyBorder="1" applyAlignment="1">
      <alignment horizontal="center" vertical="top" wrapText="1"/>
    </xf>
    <xf numFmtId="0" fontId="13" fillId="3" borderId="1" xfId="0" applyFont="1" applyFill="1" applyBorder="1" applyAlignment="1">
      <alignment horizontal="center" vertical="top" wrapText="1"/>
    </xf>
    <xf numFmtId="0" fontId="6" fillId="3" borderId="1" xfId="0" applyFont="1" applyFill="1" applyBorder="1" applyAlignment="1">
      <alignment horizontal="center" vertical="center" wrapText="1"/>
    </xf>
    <xf numFmtId="164" fontId="18" fillId="5" borderId="1" xfId="0" applyNumberFormat="1" applyFont="1" applyFill="1" applyBorder="1" applyAlignment="1">
      <alignment horizontal="right"/>
    </xf>
    <xf numFmtId="10" fontId="18" fillId="5" borderId="1" xfId="0" applyNumberFormat="1" applyFont="1" applyFill="1" applyBorder="1" applyAlignment="1">
      <alignment horizontal="right"/>
    </xf>
    <xf numFmtId="168" fontId="18" fillId="5" borderId="1" xfId="0" applyNumberFormat="1" applyFont="1" applyFill="1" applyBorder="1" applyAlignment="1">
      <alignment horizontal="right"/>
    </xf>
    <xf numFmtId="0" fontId="20" fillId="0" borderId="1" xfId="0" applyFont="1" applyBorder="1" applyAlignment="1">
      <alignment vertical="center" wrapText="1"/>
    </xf>
    <xf numFmtId="169" fontId="6" fillId="0" borderId="1" xfId="0" applyNumberFormat="1" applyFont="1" applyBorder="1" applyAlignment="1">
      <alignment horizontal="right" vertical="center"/>
    </xf>
    <xf numFmtId="0" fontId="21" fillId="0" borderId="1" xfId="0" applyFont="1" applyBorder="1" applyAlignment="1">
      <alignment vertical="center" wrapText="1"/>
    </xf>
    <xf numFmtId="10" fontId="11" fillId="5" borderId="1" xfId="0" applyNumberFormat="1" applyFont="1" applyFill="1" applyBorder="1" applyAlignment="1">
      <alignment horizontal="right" vertical="center"/>
    </xf>
    <xf numFmtId="0" fontId="0" fillId="0" borderId="1" xfId="0" applyBorder="1"/>
    <xf numFmtId="10" fontId="18" fillId="0" borderId="1" xfId="0" applyNumberFormat="1" applyFont="1" applyBorder="1"/>
    <xf numFmtId="10" fontId="6" fillId="0" borderId="1" xfId="0" applyNumberFormat="1" applyFont="1" applyBorder="1"/>
    <xf numFmtId="164" fontId="11" fillId="5" borderId="1" xfId="0" applyNumberFormat="1" applyFont="1" applyFill="1" applyBorder="1" applyAlignment="1">
      <alignment horizontal="right" vertical="center"/>
    </xf>
    <xf numFmtId="164" fontId="18" fillId="0" borderId="1" xfId="0" applyNumberFormat="1" applyFont="1" applyBorder="1"/>
    <xf numFmtId="164" fontId="6" fillId="0" borderId="1" xfId="0" applyNumberFormat="1" applyFont="1" applyBorder="1"/>
    <xf numFmtId="10" fontId="6" fillId="0" borderId="1" xfId="0" applyNumberFormat="1" applyFont="1" applyBorder="1" applyAlignment="1">
      <alignment horizontal="right" vertical="center"/>
    </xf>
    <xf numFmtId="0" fontId="6" fillId="3" borderId="1" xfId="0" applyFont="1" applyFill="1" applyBorder="1"/>
    <xf numFmtId="15" fontId="22" fillId="0" borderId="0" xfId="0" applyNumberFormat="1" applyFont="1"/>
    <xf numFmtId="4" fontId="23" fillId="5" borderId="0" xfId="0" applyNumberFormat="1" applyFont="1" applyFill="1"/>
    <xf numFmtId="170" fontId="22" fillId="0" borderId="0" xfId="0" applyNumberFormat="1" applyFont="1"/>
    <xf numFmtId="3" fontId="24" fillId="0" borderId="1" xfId="0" applyNumberFormat="1" applyFont="1" applyBorder="1" applyAlignment="1">
      <alignment horizontal="right"/>
    </xf>
    <xf numFmtId="171" fontId="24" fillId="0" borderId="1" xfId="0" applyNumberFormat="1" applyFont="1" applyBorder="1" applyAlignment="1">
      <alignment horizontal="right"/>
    </xf>
    <xf numFmtId="171" fontId="18" fillId="5" borderId="1" xfId="0" applyNumberFormat="1" applyFont="1" applyFill="1" applyBorder="1" applyAlignment="1">
      <alignment horizontal="right"/>
    </xf>
    <xf numFmtId="3" fontId="18" fillId="5" borderId="1" xfId="0" applyNumberFormat="1" applyFont="1" applyFill="1" applyBorder="1" applyAlignment="1">
      <alignment horizontal="right"/>
    </xf>
    <xf numFmtId="164" fontId="6" fillId="0" borderId="1" xfId="0" applyNumberFormat="1" applyFont="1" applyBorder="1" applyAlignment="1">
      <alignment horizontal="right" vertical="center"/>
    </xf>
    <xf numFmtId="165" fontId="11" fillId="5" borderId="1" xfId="0" applyNumberFormat="1" applyFont="1" applyFill="1" applyBorder="1" applyAlignment="1">
      <alignment horizontal="right" vertical="center"/>
    </xf>
    <xf numFmtId="165" fontId="18" fillId="0" borderId="1" xfId="0" applyNumberFormat="1" applyFont="1" applyBorder="1"/>
    <xf numFmtId="165" fontId="6" fillId="0" borderId="1" xfId="0" applyNumberFormat="1" applyFont="1" applyBorder="1"/>
    <xf numFmtId="166" fontId="18" fillId="5" borderId="1" xfId="0" applyNumberFormat="1" applyFont="1" applyFill="1" applyBorder="1"/>
    <xf numFmtId="164" fontId="7" fillId="0" borderId="1" xfId="0" applyNumberFormat="1" applyFont="1" applyBorder="1"/>
    <xf numFmtId="172" fontId="7" fillId="0" borderId="1" xfId="0" applyNumberFormat="1" applyFont="1" applyBorder="1"/>
    <xf numFmtId="166" fontId="11" fillId="5" borderId="1" xfId="0" applyNumberFormat="1" applyFont="1" applyFill="1" applyBorder="1" applyAlignment="1">
      <alignment horizontal="right" vertical="center"/>
    </xf>
    <xf numFmtId="166" fontId="18" fillId="0" borderId="1" xfId="0" applyNumberFormat="1" applyFont="1" applyBorder="1"/>
    <xf numFmtId="166" fontId="6" fillId="0" borderId="1" xfId="0" applyNumberFormat="1" applyFont="1" applyBorder="1"/>
    <xf numFmtId="166" fontId="6" fillId="0" borderId="1" xfId="0" applyNumberFormat="1" applyFont="1" applyBorder="1" applyAlignment="1">
      <alignment horizontal="right" vertical="center"/>
    </xf>
    <xf numFmtId="171" fontId="6" fillId="0" borderId="1" xfId="0" applyNumberFormat="1" applyFont="1" applyBorder="1" applyAlignment="1">
      <alignment horizontal="right" vertical="center"/>
    </xf>
    <xf numFmtId="167" fontId="11" fillId="5" borderId="1" xfId="0" applyNumberFormat="1" applyFont="1" applyFill="1" applyBorder="1" applyAlignment="1">
      <alignment horizontal="right" vertical="center"/>
    </xf>
    <xf numFmtId="10" fontId="10" fillId="5" borderId="1" xfId="0" applyNumberFormat="1" applyFont="1" applyFill="1" applyBorder="1" applyAlignment="1">
      <alignment horizontal="center"/>
    </xf>
    <xf numFmtId="10" fontId="10" fillId="5" borderId="1" xfId="0" applyNumberFormat="1" applyFont="1" applyFill="1" applyBorder="1"/>
    <xf numFmtId="167" fontId="7" fillId="0" borderId="1" xfId="0" applyNumberFormat="1" applyFont="1" applyBorder="1"/>
    <xf numFmtId="165" fontId="6" fillId="0" borderId="1" xfId="0" applyNumberFormat="1" applyFont="1" applyBorder="1" applyAlignment="1">
      <alignment horizontal="right" vertical="center"/>
    </xf>
    <xf numFmtId="168" fontId="6" fillId="0" borderId="1" xfId="0" applyNumberFormat="1" applyFont="1" applyBorder="1" applyAlignment="1">
      <alignment horizontal="right" vertical="center"/>
    </xf>
    <xf numFmtId="0" fontId="6" fillId="3" borderId="1" xfId="0" applyFont="1" applyFill="1" applyBorder="1" applyAlignment="1">
      <alignment horizontal="center" wrapText="1"/>
    </xf>
    <xf numFmtId="0" fontId="22" fillId="0" borderId="0" xfId="0" applyFont="1"/>
    <xf numFmtId="169" fontId="23" fillId="5" borderId="0" xfId="0" applyNumberFormat="1" applyFont="1" applyFill="1"/>
    <xf numFmtId="164" fontId="22" fillId="0" borderId="0" xfId="0" applyNumberFormat="1" applyFont="1"/>
    <xf numFmtId="165" fontId="22" fillId="0" borderId="0" xfId="0" applyNumberFormat="1" applyFont="1"/>
    <xf numFmtId="164" fontId="24" fillId="0" borderId="1" xfId="0" applyNumberFormat="1" applyFont="1" applyBorder="1" applyAlignment="1">
      <alignment horizontal="right"/>
    </xf>
    <xf numFmtId="10" fontId="24" fillId="0" borderId="1" xfId="0" applyNumberFormat="1" applyFont="1" applyBorder="1" applyAlignment="1">
      <alignment horizontal="right"/>
    </xf>
    <xf numFmtId="168" fontId="24" fillId="0" borderId="1" xfId="0" applyNumberFormat="1" applyFont="1" applyBorder="1" applyAlignment="1">
      <alignment horizontal="right"/>
    </xf>
    <xf numFmtId="165" fontId="9" fillId="0" borderId="1" xfId="0" applyNumberFormat="1" applyFont="1" applyBorder="1" applyAlignment="1">
      <alignment horizontal="right" vertical="center"/>
    </xf>
    <xf numFmtId="2" fontId="6" fillId="0" borderId="1" xfId="0" applyNumberFormat="1" applyFont="1" applyBorder="1" applyAlignment="1">
      <alignment horizontal="right" vertical="center"/>
    </xf>
    <xf numFmtId="0" fontId="5" fillId="2" borderId="0" xfId="0" applyFont="1" applyFill="1" applyAlignment="1">
      <alignment horizontal="center" vertical="center"/>
    </xf>
    <xf numFmtId="0" fontId="6" fillId="3" borderId="1" xfId="0" applyFont="1" applyFill="1" applyBorder="1" applyAlignment="1">
      <alignment horizontal="center" vertical="center" wrapText="1"/>
    </xf>
    <xf numFmtId="0" fontId="19" fillId="0" borderId="1" xfId="0" applyFont="1" applyBorder="1"/>
    <xf numFmtId="0" fontId="6" fillId="6" borderId="0" xfId="0" applyFont="1" applyFill="1" applyAlignment="1">
      <alignment horizontal="center" vertical="center" wrapText="1"/>
    </xf>
    <xf numFmtId="0" fontId="11" fillId="7"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1E7F82"/>
      <rgbColor rgb="FFB7B7B7"/>
      <rgbColor rgb="FF878787"/>
      <rgbColor rgb="FF9999FF"/>
      <rgbColor rgb="FF993366"/>
      <rgbColor rgb="FFFFF2CC"/>
      <rgbColor rgb="FFD9EAF7"/>
      <rgbColor rgb="FF660066"/>
      <rgbColor rgb="FFFF8080"/>
      <rgbColor rgb="FF0563C1"/>
      <rgbColor rgb="FFD9D9D9"/>
      <rgbColor rgb="FF000080"/>
      <rgbColor rgb="FFFF00FF"/>
      <rgbColor rgb="FFFFFF00"/>
      <rgbColor rgb="FF00FFFF"/>
      <rgbColor rgb="FF800080"/>
      <rgbColor rgb="FF800000"/>
      <rgbColor rgb="FF0070C0"/>
      <rgbColor rgb="FF0000FF"/>
      <rgbColor rgb="FF00CCFF"/>
      <rgbColor rgb="FFE2E3E5"/>
      <rgbColor rgb="FFE2F0D9"/>
      <rgbColor rgb="FFFFFF99"/>
      <rgbColor rgb="FF99CCFF"/>
      <rgbColor rgb="FFFF99CC"/>
      <rgbColor rgb="FFCC99FF"/>
      <rgbColor rgb="FFFCE4D6"/>
      <rgbColor rgb="FF3366FF"/>
      <rgbColor rgb="FF33CCCC"/>
      <rgbColor rgb="FF99CC00"/>
      <rgbColor rgb="FFFFCC00"/>
      <rgbColor rgb="FFFF9900"/>
      <rgbColor rgb="FFFF6600"/>
      <rgbColor rgb="FF777777"/>
      <rgbColor rgb="FFC9A24D"/>
      <rgbColor rgb="FF1F3864"/>
      <rgbColor rgb="FF339966"/>
      <rgbColor rgb="FF003300"/>
      <rgbColor rgb="FF1D2330"/>
      <rgbColor rgb="FF993300"/>
      <rgbColor rgb="FF993366"/>
      <rgbColor rgb="FF555555"/>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ITC Ltd — daily close (₹)</a:t>
            </a:r>
          </a:p>
        </c:rich>
      </c:tx>
      <c:overlay val="0"/>
      <c:spPr>
        <a:noFill/>
        <a:ln w="0">
          <a:noFill/>
        </a:ln>
      </c:spPr>
    </c:title>
    <c:autoTitleDeleted val="0"/>
    <c:plotArea>
      <c:layout/>
      <c:lineChart>
        <c:grouping val="standard"/>
        <c:varyColors val="0"/>
        <c:ser>
          <c:idx val="0"/>
          <c:order val="0"/>
          <c:tx>
            <c:strRef>
              <c:f>'P4 ITC Data'!$H$5</c:f>
              <c:strCache>
                <c:ptCount val="1"/>
                <c:pt idx="0">
                  <c:v>Close (₹)</c:v>
                </c:pt>
              </c:strCache>
            </c:strRef>
          </c:tx>
          <c:spPr>
            <a:ln w="28440">
              <a:solidFill>
                <a:srgbClr val="1E7F82"/>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'P4 ITC Data'!$G$6:$G$255</c:f>
              <c:numCache>
                <c:formatCode>d\-mmm\-yy</c:formatCode>
                <c:ptCount val="250"/>
                <c:pt idx="0">
                  <c:v>45558</c:v>
                </c:pt>
                <c:pt idx="1">
                  <c:v>45559</c:v>
                </c:pt>
                <c:pt idx="2">
                  <c:v>45560</c:v>
                </c:pt>
                <c:pt idx="3">
                  <c:v>45561</c:v>
                </c:pt>
                <c:pt idx="4">
                  <c:v>45562</c:v>
                </c:pt>
                <c:pt idx="5">
                  <c:v>45565</c:v>
                </c:pt>
                <c:pt idx="6">
                  <c:v>45566</c:v>
                </c:pt>
                <c:pt idx="7">
                  <c:v>45568</c:v>
                </c:pt>
                <c:pt idx="8">
                  <c:v>45569</c:v>
                </c:pt>
                <c:pt idx="9">
                  <c:v>45572</c:v>
                </c:pt>
                <c:pt idx="10">
                  <c:v>45573</c:v>
                </c:pt>
                <c:pt idx="11">
                  <c:v>45574</c:v>
                </c:pt>
                <c:pt idx="12">
                  <c:v>45575</c:v>
                </c:pt>
                <c:pt idx="13">
                  <c:v>45576</c:v>
                </c:pt>
                <c:pt idx="14">
                  <c:v>45579</c:v>
                </c:pt>
                <c:pt idx="15">
                  <c:v>45580</c:v>
                </c:pt>
                <c:pt idx="16">
                  <c:v>45581</c:v>
                </c:pt>
                <c:pt idx="17">
                  <c:v>45582</c:v>
                </c:pt>
                <c:pt idx="18">
                  <c:v>45583</c:v>
                </c:pt>
                <c:pt idx="19">
                  <c:v>45586</c:v>
                </c:pt>
                <c:pt idx="20">
                  <c:v>45587</c:v>
                </c:pt>
                <c:pt idx="21">
                  <c:v>45588</c:v>
                </c:pt>
                <c:pt idx="22">
                  <c:v>45589</c:v>
                </c:pt>
                <c:pt idx="23">
                  <c:v>45590</c:v>
                </c:pt>
                <c:pt idx="24">
                  <c:v>45593</c:v>
                </c:pt>
                <c:pt idx="25">
                  <c:v>45594</c:v>
                </c:pt>
                <c:pt idx="26">
                  <c:v>45595</c:v>
                </c:pt>
                <c:pt idx="27">
                  <c:v>45596</c:v>
                </c:pt>
                <c:pt idx="28">
                  <c:v>45597</c:v>
                </c:pt>
                <c:pt idx="29">
                  <c:v>45600</c:v>
                </c:pt>
                <c:pt idx="30">
                  <c:v>45601</c:v>
                </c:pt>
                <c:pt idx="31">
                  <c:v>45602</c:v>
                </c:pt>
                <c:pt idx="32">
                  <c:v>45603</c:v>
                </c:pt>
                <c:pt idx="33">
                  <c:v>45604</c:v>
                </c:pt>
                <c:pt idx="34">
                  <c:v>45607</c:v>
                </c:pt>
                <c:pt idx="35">
                  <c:v>45608</c:v>
                </c:pt>
                <c:pt idx="36">
                  <c:v>45609</c:v>
                </c:pt>
                <c:pt idx="37">
                  <c:v>45610</c:v>
                </c:pt>
                <c:pt idx="38">
                  <c:v>45614</c:v>
                </c:pt>
                <c:pt idx="39">
                  <c:v>45615</c:v>
                </c:pt>
                <c:pt idx="40">
                  <c:v>45617</c:v>
                </c:pt>
                <c:pt idx="41">
                  <c:v>45618</c:v>
                </c:pt>
                <c:pt idx="42">
                  <c:v>45621</c:v>
                </c:pt>
                <c:pt idx="43">
                  <c:v>45622</c:v>
                </c:pt>
                <c:pt idx="44">
                  <c:v>45623</c:v>
                </c:pt>
                <c:pt idx="45">
                  <c:v>45624</c:v>
                </c:pt>
                <c:pt idx="46">
                  <c:v>45625</c:v>
                </c:pt>
                <c:pt idx="47">
                  <c:v>45628</c:v>
                </c:pt>
                <c:pt idx="48">
                  <c:v>45629</c:v>
                </c:pt>
                <c:pt idx="49">
                  <c:v>45630</c:v>
                </c:pt>
                <c:pt idx="50">
                  <c:v>45631</c:v>
                </c:pt>
                <c:pt idx="51">
                  <c:v>45632</c:v>
                </c:pt>
                <c:pt idx="52">
                  <c:v>45635</c:v>
                </c:pt>
                <c:pt idx="53">
                  <c:v>45636</c:v>
                </c:pt>
                <c:pt idx="54">
                  <c:v>45637</c:v>
                </c:pt>
                <c:pt idx="55">
                  <c:v>45638</c:v>
                </c:pt>
                <c:pt idx="56">
                  <c:v>45639</c:v>
                </c:pt>
                <c:pt idx="57">
                  <c:v>45642</c:v>
                </c:pt>
                <c:pt idx="58">
                  <c:v>45643</c:v>
                </c:pt>
                <c:pt idx="59">
                  <c:v>45644</c:v>
                </c:pt>
                <c:pt idx="60">
                  <c:v>45645</c:v>
                </c:pt>
                <c:pt idx="61">
                  <c:v>45646</c:v>
                </c:pt>
                <c:pt idx="62">
                  <c:v>45649</c:v>
                </c:pt>
                <c:pt idx="63">
                  <c:v>45650</c:v>
                </c:pt>
                <c:pt idx="64">
                  <c:v>45652</c:v>
                </c:pt>
                <c:pt idx="65">
                  <c:v>45653</c:v>
                </c:pt>
                <c:pt idx="66">
                  <c:v>45656</c:v>
                </c:pt>
                <c:pt idx="67">
                  <c:v>45657</c:v>
                </c:pt>
                <c:pt idx="68">
                  <c:v>45658</c:v>
                </c:pt>
                <c:pt idx="69">
                  <c:v>45659</c:v>
                </c:pt>
                <c:pt idx="70">
                  <c:v>45660</c:v>
                </c:pt>
                <c:pt idx="71">
                  <c:v>45663</c:v>
                </c:pt>
                <c:pt idx="72">
                  <c:v>45664</c:v>
                </c:pt>
                <c:pt idx="73">
                  <c:v>45665</c:v>
                </c:pt>
                <c:pt idx="74">
                  <c:v>45666</c:v>
                </c:pt>
                <c:pt idx="75">
                  <c:v>45667</c:v>
                </c:pt>
                <c:pt idx="76">
                  <c:v>45670</c:v>
                </c:pt>
                <c:pt idx="77">
                  <c:v>45671</c:v>
                </c:pt>
                <c:pt idx="78">
                  <c:v>45672</c:v>
                </c:pt>
                <c:pt idx="79">
                  <c:v>45673</c:v>
                </c:pt>
                <c:pt idx="80">
                  <c:v>45674</c:v>
                </c:pt>
                <c:pt idx="81">
                  <c:v>45677</c:v>
                </c:pt>
                <c:pt idx="82">
                  <c:v>45678</c:v>
                </c:pt>
                <c:pt idx="83">
                  <c:v>45679</c:v>
                </c:pt>
                <c:pt idx="84">
                  <c:v>45680</c:v>
                </c:pt>
                <c:pt idx="85">
                  <c:v>45681</c:v>
                </c:pt>
                <c:pt idx="86">
                  <c:v>45684</c:v>
                </c:pt>
                <c:pt idx="87">
                  <c:v>45685</c:v>
                </c:pt>
                <c:pt idx="88">
                  <c:v>45686</c:v>
                </c:pt>
                <c:pt idx="89">
                  <c:v>45687</c:v>
                </c:pt>
                <c:pt idx="90">
                  <c:v>45688</c:v>
                </c:pt>
                <c:pt idx="91">
                  <c:v>45689</c:v>
                </c:pt>
                <c:pt idx="92">
                  <c:v>45691</c:v>
                </c:pt>
                <c:pt idx="93">
                  <c:v>45692</c:v>
                </c:pt>
                <c:pt idx="94">
                  <c:v>45693</c:v>
                </c:pt>
                <c:pt idx="95">
                  <c:v>45694</c:v>
                </c:pt>
                <c:pt idx="96">
                  <c:v>45695</c:v>
                </c:pt>
                <c:pt idx="97">
                  <c:v>45698</c:v>
                </c:pt>
                <c:pt idx="98">
                  <c:v>45699</c:v>
                </c:pt>
                <c:pt idx="99">
                  <c:v>45700</c:v>
                </c:pt>
                <c:pt idx="100">
                  <c:v>45701</c:v>
                </c:pt>
                <c:pt idx="101">
                  <c:v>45702</c:v>
                </c:pt>
                <c:pt idx="102">
                  <c:v>45705</c:v>
                </c:pt>
                <c:pt idx="103">
                  <c:v>45706</c:v>
                </c:pt>
                <c:pt idx="104">
                  <c:v>45707</c:v>
                </c:pt>
                <c:pt idx="105">
                  <c:v>45708</c:v>
                </c:pt>
                <c:pt idx="106">
                  <c:v>45709</c:v>
                </c:pt>
                <c:pt idx="107">
                  <c:v>45712</c:v>
                </c:pt>
                <c:pt idx="108">
                  <c:v>45713</c:v>
                </c:pt>
                <c:pt idx="109">
                  <c:v>45715</c:v>
                </c:pt>
                <c:pt idx="110">
                  <c:v>45716</c:v>
                </c:pt>
                <c:pt idx="111">
                  <c:v>45719</c:v>
                </c:pt>
                <c:pt idx="112">
                  <c:v>45720</c:v>
                </c:pt>
                <c:pt idx="113">
                  <c:v>45721</c:v>
                </c:pt>
                <c:pt idx="114">
                  <c:v>45722</c:v>
                </c:pt>
                <c:pt idx="115">
                  <c:v>45723</c:v>
                </c:pt>
                <c:pt idx="116">
                  <c:v>45726</c:v>
                </c:pt>
                <c:pt idx="117">
                  <c:v>45727</c:v>
                </c:pt>
                <c:pt idx="118">
                  <c:v>45728</c:v>
                </c:pt>
                <c:pt idx="119">
                  <c:v>45729</c:v>
                </c:pt>
                <c:pt idx="120">
                  <c:v>45733</c:v>
                </c:pt>
                <c:pt idx="121">
                  <c:v>45734</c:v>
                </c:pt>
                <c:pt idx="122">
                  <c:v>45735</c:v>
                </c:pt>
                <c:pt idx="123">
                  <c:v>45736</c:v>
                </c:pt>
                <c:pt idx="124">
                  <c:v>45737</c:v>
                </c:pt>
                <c:pt idx="125">
                  <c:v>45740</c:v>
                </c:pt>
                <c:pt idx="126">
                  <c:v>45741</c:v>
                </c:pt>
                <c:pt idx="127">
                  <c:v>45742</c:v>
                </c:pt>
                <c:pt idx="128">
                  <c:v>45743</c:v>
                </c:pt>
                <c:pt idx="129">
                  <c:v>45744</c:v>
                </c:pt>
                <c:pt idx="130">
                  <c:v>45748</c:v>
                </c:pt>
                <c:pt idx="131">
                  <c:v>45749</c:v>
                </c:pt>
                <c:pt idx="132">
                  <c:v>45750</c:v>
                </c:pt>
                <c:pt idx="133">
                  <c:v>45751</c:v>
                </c:pt>
                <c:pt idx="134">
                  <c:v>45754</c:v>
                </c:pt>
                <c:pt idx="135">
                  <c:v>45755</c:v>
                </c:pt>
                <c:pt idx="136">
                  <c:v>45756</c:v>
                </c:pt>
                <c:pt idx="137">
                  <c:v>45758</c:v>
                </c:pt>
                <c:pt idx="138">
                  <c:v>45762</c:v>
                </c:pt>
                <c:pt idx="139">
                  <c:v>45763</c:v>
                </c:pt>
                <c:pt idx="140">
                  <c:v>45764</c:v>
                </c:pt>
                <c:pt idx="141">
                  <c:v>45768</c:v>
                </c:pt>
                <c:pt idx="142">
                  <c:v>45769</c:v>
                </c:pt>
                <c:pt idx="143">
                  <c:v>45770</c:v>
                </c:pt>
                <c:pt idx="144">
                  <c:v>45771</c:v>
                </c:pt>
                <c:pt idx="145">
                  <c:v>45772</c:v>
                </c:pt>
                <c:pt idx="146">
                  <c:v>45775</c:v>
                </c:pt>
                <c:pt idx="147">
                  <c:v>45776</c:v>
                </c:pt>
                <c:pt idx="148">
                  <c:v>45777</c:v>
                </c:pt>
                <c:pt idx="149">
                  <c:v>45779</c:v>
                </c:pt>
                <c:pt idx="150">
                  <c:v>45782</c:v>
                </c:pt>
                <c:pt idx="151">
                  <c:v>45783</c:v>
                </c:pt>
                <c:pt idx="152">
                  <c:v>45784</c:v>
                </c:pt>
                <c:pt idx="153">
                  <c:v>45785</c:v>
                </c:pt>
                <c:pt idx="154">
                  <c:v>45786</c:v>
                </c:pt>
                <c:pt idx="155">
                  <c:v>45789</c:v>
                </c:pt>
                <c:pt idx="156">
                  <c:v>45790</c:v>
                </c:pt>
                <c:pt idx="157">
                  <c:v>45791</c:v>
                </c:pt>
                <c:pt idx="158">
                  <c:v>45792</c:v>
                </c:pt>
                <c:pt idx="159">
                  <c:v>45793</c:v>
                </c:pt>
                <c:pt idx="160">
                  <c:v>45796</c:v>
                </c:pt>
                <c:pt idx="161">
                  <c:v>45797</c:v>
                </c:pt>
                <c:pt idx="162">
                  <c:v>45798</c:v>
                </c:pt>
                <c:pt idx="163">
                  <c:v>45799</c:v>
                </c:pt>
                <c:pt idx="164">
                  <c:v>45800</c:v>
                </c:pt>
                <c:pt idx="165">
                  <c:v>45803</c:v>
                </c:pt>
                <c:pt idx="166">
                  <c:v>45804</c:v>
                </c:pt>
                <c:pt idx="167">
                  <c:v>45805</c:v>
                </c:pt>
                <c:pt idx="168">
                  <c:v>45806</c:v>
                </c:pt>
                <c:pt idx="169">
                  <c:v>45807</c:v>
                </c:pt>
                <c:pt idx="170">
                  <c:v>45810</c:v>
                </c:pt>
                <c:pt idx="171">
                  <c:v>45811</c:v>
                </c:pt>
                <c:pt idx="172">
                  <c:v>45812</c:v>
                </c:pt>
                <c:pt idx="173">
                  <c:v>45813</c:v>
                </c:pt>
                <c:pt idx="174">
                  <c:v>45814</c:v>
                </c:pt>
                <c:pt idx="175">
                  <c:v>45817</c:v>
                </c:pt>
                <c:pt idx="176">
                  <c:v>45818</c:v>
                </c:pt>
                <c:pt idx="177">
                  <c:v>45819</c:v>
                </c:pt>
                <c:pt idx="178">
                  <c:v>45820</c:v>
                </c:pt>
                <c:pt idx="179">
                  <c:v>45821</c:v>
                </c:pt>
                <c:pt idx="180">
                  <c:v>45824</c:v>
                </c:pt>
                <c:pt idx="181">
                  <c:v>45825</c:v>
                </c:pt>
                <c:pt idx="182">
                  <c:v>45826</c:v>
                </c:pt>
                <c:pt idx="183">
                  <c:v>45827</c:v>
                </c:pt>
                <c:pt idx="184">
                  <c:v>45828</c:v>
                </c:pt>
                <c:pt idx="185">
                  <c:v>45831</c:v>
                </c:pt>
                <c:pt idx="186">
                  <c:v>45832</c:v>
                </c:pt>
                <c:pt idx="187">
                  <c:v>45833</c:v>
                </c:pt>
                <c:pt idx="188">
                  <c:v>45834</c:v>
                </c:pt>
                <c:pt idx="189">
                  <c:v>45835</c:v>
                </c:pt>
                <c:pt idx="190">
                  <c:v>45838</c:v>
                </c:pt>
                <c:pt idx="191">
                  <c:v>45839</c:v>
                </c:pt>
                <c:pt idx="192">
                  <c:v>45840</c:v>
                </c:pt>
                <c:pt idx="193">
                  <c:v>45841</c:v>
                </c:pt>
                <c:pt idx="194">
                  <c:v>45842</c:v>
                </c:pt>
                <c:pt idx="195">
                  <c:v>45845</c:v>
                </c:pt>
                <c:pt idx="196">
                  <c:v>45846</c:v>
                </c:pt>
                <c:pt idx="197">
                  <c:v>45847</c:v>
                </c:pt>
                <c:pt idx="198">
                  <c:v>45848</c:v>
                </c:pt>
                <c:pt idx="199">
                  <c:v>45849</c:v>
                </c:pt>
                <c:pt idx="200">
                  <c:v>45852</c:v>
                </c:pt>
                <c:pt idx="201">
                  <c:v>45853</c:v>
                </c:pt>
                <c:pt idx="202">
                  <c:v>45854</c:v>
                </c:pt>
                <c:pt idx="203">
                  <c:v>45855</c:v>
                </c:pt>
                <c:pt idx="204">
                  <c:v>45856</c:v>
                </c:pt>
                <c:pt idx="205">
                  <c:v>45859</c:v>
                </c:pt>
                <c:pt idx="206">
                  <c:v>45860</c:v>
                </c:pt>
                <c:pt idx="207">
                  <c:v>45861</c:v>
                </c:pt>
                <c:pt idx="208">
                  <c:v>45862</c:v>
                </c:pt>
                <c:pt idx="209">
                  <c:v>45863</c:v>
                </c:pt>
                <c:pt idx="210">
                  <c:v>45866</c:v>
                </c:pt>
                <c:pt idx="211">
                  <c:v>45867</c:v>
                </c:pt>
                <c:pt idx="212">
                  <c:v>45868</c:v>
                </c:pt>
                <c:pt idx="213">
                  <c:v>45869</c:v>
                </c:pt>
                <c:pt idx="214">
                  <c:v>45870</c:v>
                </c:pt>
                <c:pt idx="215">
                  <c:v>45873</c:v>
                </c:pt>
                <c:pt idx="216">
                  <c:v>45874</c:v>
                </c:pt>
                <c:pt idx="217">
                  <c:v>45875</c:v>
                </c:pt>
                <c:pt idx="218">
                  <c:v>45876</c:v>
                </c:pt>
                <c:pt idx="219">
                  <c:v>45877</c:v>
                </c:pt>
                <c:pt idx="220">
                  <c:v>45880</c:v>
                </c:pt>
                <c:pt idx="221">
                  <c:v>45881</c:v>
                </c:pt>
                <c:pt idx="222">
                  <c:v>45882</c:v>
                </c:pt>
                <c:pt idx="223">
                  <c:v>45883</c:v>
                </c:pt>
                <c:pt idx="224">
                  <c:v>45887</c:v>
                </c:pt>
                <c:pt idx="225">
                  <c:v>45888</c:v>
                </c:pt>
                <c:pt idx="226">
                  <c:v>45889</c:v>
                </c:pt>
                <c:pt idx="227">
                  <c:v>45890</c:v>
                </c:pt>
                <c:pt idx="228">
                  <c:v>45891</c:v>
                </c:pt>
                <c:pt idx="229">
                  <c:v>45894</c:v>
                </c:pt>
                <c:pt idx="230">
                  <c:v>45895</c:v>
                </c:pt>
                <c:pt idx="231">
                  <c:v>45897</c:v>
                </c:pt>
                <c:pt idx="232">
                  <c:v>45898</c:v>
                </c:pt>
                <c:pt idx="233">
                  <c:v>45901</c:v>
                </c:pt>
                <c:pt idx="234">
                  <c:v>45902</c:v>
                </c:pt>
                <c:pt idx="235">
                  <c:v>45903</c:v>
                </c:pt>
                <c:pt idx="236">
                  <c:v>45904</c:v>
                </c:pt>
                <c:pt idx="237">
                  <c:v>45905</c:v>
                </c:pt>
                <c:pt idx="238">
                  <c:v>45908</c:v>
                </c:pt>
                <c:pt idx="239">
                  <c:v>45909</c:v>
                </c:pt>
                <c:pt idx="240">
                  <c:v>45910</c:v>
                </c:pt>
                <c:pt idx="241">
                  <c:v>45911</c:v>
                </c:pt>
                <c:pt idx="242">
                  <c:v>45912</c:v>
                </c:pt>
                <c:pt idx="243">
                  <c:v>45915</c:v>
                </c:pt>
                <c:pt idx="244">
                  <c:v>45916</c:v>
                </c:pt>
                <c:pt idx="245">
                  <c:v>45917</c:v>
                </c:pt>
                <c:pt idx="246">
                  <c:v>45918</c:v>
                </c:pt>
                <c:pt idx="247">
                  <c:v>45919</c:v>
                </c:pt>
                <c:pt idx="248">
                  <c:v>45922</c:v>
                </c:pt>
                <c:pt idx="249">
                  <c:v>45923</c:v>
                </c:pt>
              </c:numCache>
            </c:numRef>
          </c:cat>
          <c:val>
            <c:numRef>
              <c:f>'P4 ITC Data'!$H$6:$H$255</c:f>
              <c:numCache>
                <c:formatCode>#,##0.00</c:formatCode>
                <c:ptCount val="250"/>
                <c:pt idx="0">
                  <c:v>489.03989999999999</c:v>
                </c:pt>
                <c:pt idx="1">
                  <c:v>487.43169999999998</c:v>
                </c:pt>
                <c:pt idx="2">
                  <c:v>489.60750000000002</c:v>
                </c:pt>
                <c:pt idx="3">
                  <c:v>494.52670000000001</c:v>
                </c:pt>
                <c:pt idx="4">
                  <c:v>494.4794</c:v>
                </c:pt>
                <c:pt idx="5">
                  <c:v>490.17509999999999</c:v>
                </c:pt>
                <c:pt idx="6">
                  <c:v>488.3304</c:v>
                </c:pt>
                <c:pt idx="7">
                  <c:v>485.06659999999999</c:v>
                </c:pt>
                <c:pt idx="8">
                  <c:v>476.36329999999998</c:v>
                </c:pt>
                <c:pt idx="9">
                  <c:v>482.65429999999998</c:v>
                </c:pt>
                <c:pt idx="10">
                  <c:v>480.5258</c:v>
                </c:pt>
                <c:pt idx="11">
                  <c:v>465.15309999999999</c:v>
                </c:pt>
                <c:pt idx="12">
                  <c:v>465.48419999999999</c:v>
                </c:pt>
                <c:pt idx="13">
                  <c:v>461.84210000000002</c:v>
                </c:pt>
                <c:pt idx="14">
                  <c:v>470.11970000000002</c:v>
                </c:pt>
                <c:pt idx="15">
                  <c:v>471.63330000000002</c:v>
                </c:pt>
                <c:pt idx="16">
                  <c:v>466.57209999999998</c:v>
                </c:pt>
                <c:pt idx="17">
                  <c:v>462.5043</c:v>
                </c:pt>
                <c:pt idx="18">
                  <c:v>460.42309999999998</c:v>
                </c:pt>
                <c:pt idx="19">
                  <c:v>457.53769999999997</c:v>
                </c:pt>
                <c:pt idx="20">
                  <c:v>455.7876</c:v>
                </c:pt>
                <c:pt idx="21">
                  <c:v>454.41590000000002</c:v>
                </c:pt>
                <c:pt idx="22">
                  <c:v>446.23289999999997</c:v>
                </c:pt>
                <c:pt idx="23">
                  <c:v>456.26060000000001</c:v>
                </c:pt>
                <c:pt idx="24">
                  <c:v>458.01069999999999</c:v>
                </c:pt>
                <c:pt idx="25">
                  <c:v>461.60559999999998</c:v>
                </c:pt>
                <c:pt idx="26">
                  <c:v>465.01119999999997</c:v>
                </c:pt>
                <c:pt idx="27">
                  <c:v>462.40969999999999</c:v>
                </c:pt>
                <c:pt idx="28">
                  <c:v>463.82870000000003</c:v>
                </c:pt>
                <c:pt idx="29">
                  <c:v>458.43639999999999</c:v>
                </c:pt>
                <c:pt idx="30">
                  <c:v>454.274</c:v>
                </c:pt>
                <c:pt idx="31">
                  <c:v>455.12540000000001</c:v>
                </c:pt>
                <c:pt idx="32">
                  <c:v>452.09820000000002</c:v>
                </c:pt>
                <c:pt idx="33">
                  <c:v>452.24009999999998</c:v>
                </c:pt>
                <c:pt idx="34">
                  <c:v>451.1995</c:v>
                </c:pt>
                <c:pt idx="35">
                  <c:v>447.32080000000002</c:v>
                </c:pt>
                <c:pt idx="36">
                  <c:v>446.70589999999999</c:v>
                </c:pt>
                <c:pt idx="37">
                  <c:v>440.79340000000002</c:v>
                </c:pt>
                <c:pt idx="38">
                  <c:v>441.36099999999999</c:v>
                </c:pt>
                <c:pt idx="39">
                  <c:v>442.11779999999999</c:v>
                </c:pt>
                <c:pt idx="40">
                  <c:v>432.46850000000001</c:v>
                </c:pt>
                <c:pt idx="41">
                  <c:v>449.02359999999999</c:v>
                </c:pt>
                <c:pt idx="42">
                  <c:v>451.05759999999998</c:v>
                </c:pt>
                <c:pt idx="43">
                  <c:v>451.24680000000001</c:v>
                </c:pt>
                <c:pt idx="44">
                  <c:v>451.1995</c:v>
                </c:pt>
                <c:pt idx="45">
                  <c:v>449.26010000000002</c:v>
                </c:pt>
                <c:pt idx="46">
                  <c:v>451.01029999999997</c:v>
                </c:pt>
                <c:pt idx="47">
                  <c:v>451.43599999999998</c:v>
                </c:pt>
                <c:pt idx="48">
                  <c:v>447.03699999999998</c:v>
                </c:pt>
                <c:pt idx="49">
                  <c:v>441.88130000000001</c:v>
                </c:pt>
                <c:pt idx="50">
                  <c:v>442.25970000000001</c:v>
                </c:pt>
                <c:pt idx="51">
                  <c:v>445.71260000000001</c:v>
                </c:pt>
                <c:pt idx="52">
                  <c:v>439.84730000000002</c:v>
                </c:pt>
                <c:pt idx="53">
                  <c:v>440.32040000000001</c:v>
                </c:pt>
                <c:pt idx="54">
                  <c:v>440.13119999999998</c:v>
                </c:pt>
                <c:pt idx="55">
                  <c:v>435.73219999999998</c:v>
                </c:pt>
                <c:pt idx="56">
                  <c:v>444.62470000000002</c:v>
                </c:pt>
                <c:pt idx="57">
                  <c:v>444.71929999999998</c:v>
                </c:pt>
                <c:pt idx="58">
                  <c:v>444.19900000000001</c:v>
                </c:pt>
                <c:pt idx="59">
                  <c:v>445.09769999999997</c:v>
                </c:pt>
                <c:pt idx="60">
                  <c:v>441.36099999999999</c:v>
                </c:pt>
                <c:pt idx="61">
                  <c:v>439.56349999999998</c:v>
                </c:pt>
                <c:pt idx="62">
                  <c:v>448.64519999999999</c:v>
                </c:pt>
                <c:pt idx="63">
                  <c:v>452.61849999999998</c:v>
                </c:pt>
                <c:pt idx="64">
                  <c:v>451.1995</c:v>
                </c:pt>
                <c:pt idx="65">
                  <c:v>452.7604</c:v>
                </c:pt>
                <c:pt idx="66">
                  <c:v>451.24680000000001</c:v>
                </c:pt>
                <c:pt idx="67">
                  <c:v>457.53769999999997</c:v>
                </c:pt>
                <c:pt idx="68">
                  <c:v>457.82150000000001</c:v>
                </c:pt>
                <c:pt idx="69">
                  <c:v>462.64620000000002</c:v>
                </c:pt>
                <c:pt idx="70">
                  <c:v>455.59840000000003</c:v>
                </c:pt>
                <c:pt idx="71">
                  <c:v>442.65</c:v>
                </c:pt>
                <c:pt idx="72">
                  <c:v>441.1</c:v>
                </c:pt>
                <c:pt idx="73">
                  <c:v>449.55</c:v>
                </c:pt>
                <c:pt idx="74">
                  <c:v>450.1</c:v>
                </c:pt>
                <c:pt idx="75">
                  <c:v>444.9</c:v>
                </c:pt>
                <c:pt idx="76">
                  <c:v>439.05</c:v>
                </c:pt>
                <c:pt idx="77">
                  <c:v>436.6</c:v>
                </c:pt>
                <c:pt idx="78">
                  <c:v>437.35</c:v>
                </c:pt>
                <c:pt idx="79">
                  <c:v>432.85</c:v>
                </c:pt>
                <c:pt idx="80">
                  <c:v>440.2</c:v>
                </c:pt>
                <c:pt idx="81">
                  <c:v>437.7</c:v>
                </c:pt>
                <c:pt idx="82">
                  <c:v>437.55</c:v>
                </c:pt>
                <c:pt idx="83">
                  <c:v>437</c:v>
                </c:pt>
                <c:pt idx="84">
                  <c:v>440.2</c:v>
                </c:pt>
                <c:pt idx="85">
                  <c:v>441.6</c:v>
                </c:pt>
                <c:pt idx="86">
                  <c:v>440.1</c:v>
                </c:pt>
                <c:pt idx="87">
                  <c:v>435.45</c:v>
                </c:pt>
                <c:pt idx="88">
                  <c:v>433.35</c:v>
                </c:pt>
                <c:pt idx="89">
                  <c:v>436.2</c:v>
                </c:pt>
                <c:pt idx="90">
                  <c:v>447.5</c:v>
                </c:pt>
                <c:pt idx="91">
                  <c:v>462.55</c:v>
                </c:pt>
                <c:pt idx="92">
                  <c:v>454.35</c:v>
                </c:pt>
                <c:pt idx="93">
                  <c:v>455.15</c:v>
                </c:pt>
                <c:pt idx="94">
                  <c:v>448.15</c:v>
                </c:pt>
                <c:pt idx="95">
                  <c:v>441.1</c:v>
                </c:pt>
                <c:pt idx="96">
                  <c:v>430.85</c:v>
                </c:pt>
                <c:pt idx="97">
                  <c:v>427.2</c:v>
                </c:pt>
                <c:pt idx="98">
                  <c:v>418.3</c:v>
                </c:pt>
                <c:pt idx="99">
                  <c:v>409.9</c:v>
                </c:pt>
                <c:pt idx="100">
                  <c:v>409.7</c:v>
                </c:pt>
                <c:pt idx="101">
                  <c:v>410.25</c:v>
                </c:pt>
                <c:pt idx="102">
                  <c:v>408.6</c:v>
                </c:pt>
                <c:pt idx="103">
                  <c:v>405.25</c:v>
                </c:pt>
                <c:pt idx="104">
                  <c:v>406.4</c:v>
                </c:pt>
                <c:pt idx="105">
                  <c:v>402.05</c:v>
                </c:pt>
                <c:pt idx="106">
                  <c:v>400.9</c:v>
                </c:pt>
                <c:pt idx="107">
                  <c:v>401.9</c:v>
                </c:pt>
                <c:pt idx="108">
                  <c:v>404.85</c:v>
                </c:pt>
                <c:pt idx="109">
                  <c:v>401.6</c:v>
                </c:pt>
                <c:pt idx="110">
                  <c:v>395</c:v>
                </c:pt>
                <c:pt idx="111">
                  <c:v>397.45</c:v>
                </c:pt>
                <c:pt idx="112">
                  <c:v>394.85</c:v>
                </c:pt>
                <c:pt idx="113">
                  <c:v>405.05</c:v>
                </c:pt>
                <c:pt idx="114">
                  <c:v>405.7</c:v>
                </c:pt>
                <c:pt idx="115">
                  <c:v>403.9</c:v>
                </c:pt>
                <c:pt idx="116">
                  <c:v>405</c:v>
                </c:pt>
                <c:pt idx="117">
                  <c:v>406.2</c:v>
                </c:pt>
                <c:pt idx="118">
                  <c:v>412.4</c:v>
                </c:pt>
                <c:pt idx="119">
                  <c:v>412.05</c:v>
                </c:pt>
                <c:pt idx="120">
                  <c:v>407.95</c:v>
                </c:pt>
                <c:pt idx="121">
                  <c:v>409.1</c:v>
                </c:pt>
                <c:pt idx="122">
                  <c:v>403.05</c:v>
                </c:pt>
                <c:pt idx="123">
                  <c:v>403.95</c:v>
                </c:pt>
                <c:pt idx="124">
                  <c:v>405.55</c:v>
                </c:pt>
                <c:pt idx="125">
                  <c:v>410.9</c:v>
                </c:pt>
                <c:pt idx="126">
                  <c:v>409.8</c:v>
                </c:pt>
                <c:pt idx="127">
                  <c:v>407.35</c:v>
                </c:pt>
                <c:pt idx="128">
                  <c:v>409.45</c:v>
                </c:pt>
                <c:pt idx="129">
                  <c:v>409.75</c:v>
                </c:pt>
                <c:pt idx="130">
                  <c:v>406.65</c:v>
                </c:pt>
                <c:pt idx="131">
                  <c:v>409.05</c:v>
                </c:pt>
                <c:pt idx="132">
                  <c:v>409.4</c:v>
                </c:pt>
                <c:pt idx="133">
                  <c:v>409.7</c:v>
                </c:pt>
                <c:pt idx="134">
                  <c:v>406.05</c:v>
                </c:pt>
                <c:pt idx="135">
                  <c:v>412.55</c:v>
                </c:pt>
                <c:pt idx="136">
                  <c:v>416.3</c:v>
                </c:pt>
                <c:pt idx="137">
                  <c:v>421.55</c:v>
                </c:pt>
                <c:pt idx="138">
                  <c:v>420.4</c:v>
                </c:pt>
                <c:pt idx="139">
                  <c:v>424.45</c:v>
                </c:pt>
                <c:pt idx="140">
                  <c:v>427.25</c:v>
                </c:pt>
                <c:pt idx="141">
                  <c:v>422.85</c:v>
                </c:pt>
                <c:pt idx="142">
                  <c:v>433.6</c:v>
                </c:pt>
                <c:pt idx="143">
                  <c:v>430.85</c:v>
                </c:pt>
                <c:pt idx="144">
                  <c:v>430.05</c:v>
                </c:pt>
                <c:pt idx="145">
                  <c:v>427.8</c:v>
                </c:pt>
                <c:pt idx="146">
                  <c:v>428.8</c:v>
                </c:pt>
                <c:pt idx="147">
                  <c:v>426</c:v>
                </c:pt>
                <c:pt idx="148">
                  <c:v>425.8</c:v>
                </c:pt>
                <c:pt idx="149">
                  <c:v>430.25</c:v>
                </c:pt>
                <c:pt idx="150">
                  <c:v>436.95</c:v>
                </c:pt>
                <c:pt idx="151">
                  <c:v>435.55</c:v>
                </c:pt>
                <c:pt idx="152">
                  <c:v>431.15</c:v>
                </c:pt>
                <c:pt idx="153">
                  <c:v>430.6</c:v>
                </c:pt>
                <c:pt idx="154">
                  <c:v>423.55</c:v>
                </c:pt>
                <c:pt idx="155">
                  <c:v>435.5</c:v>
                </c:pt>
                <c:pt idx="156">
                  <c:v>427.9</c:v>
                </c:pt>
                <c:pt idx="157">
                  <c:v>429.1</c:v>
                </c:pt>
                <c:pt idx="158">
                  <c:v>432.65</c:v>
                </c:pt>
                <c:pt idx="159">
                  <c:v>435.7</c:v>
                </c:pt>
                <c:pt idx="160">
                  <c:v>435.35</c:v>
                </c:pt>
                <c:pt idx="161">
                  <c:v>434.9</c:v>
                </c:pt>
                <c:pt idx="162">
                  <c:v>433</c:v>
                </c:pt>
                <c:pt idx="163">
                  <c:v>426.1</c:v>
                </c:pt>
                <c:pt idx="164">
                  <c:v>436.3</c:v>
                </c:pt>
                <c:pt idx="165">
                  <c:v>442.9</c:v>
                </c:pt>
                <c:pt idx="166">
                  <c:v>433.9</c:v>
                </c:pt>
                <c:pt idx="167">
                  <c:v>420.2</c:v>
                </c:pt>
                <c:pt idx="168">
                  <c:v>418.75</c:v>
                </c:pt>
                <c:pt idx="169">
                  <c:v>418.05</c:v>
                </c:pt>
                <c:pt idx="170">
                  <c:v>419.3</c:v>
                </c:pt>
                <c:pt idx="171">
                  <c:v>416.95</c:v>
                </c:pt>
                <c:pt idx="172">
                  <c:v>417</c:v>
                </c:pt>
                <c:pt idx="173">
                  <c:v>419.1</c:v>
                </c:pt>
                <c:pt idx="174">
                  <c:v>421.05</c:v>
                </c:pt>
                <c:pt idx="175">
                  <c:v>423.05</c:v>
                </c:pt>
                <c:pt idx="176">
                  <c:v>427</c:v>
                </c:pt>
                <c:pt idx="177">
                  <c:v>426.15</c:v>
                </c:pt>
                <c:pt idx="178">
                  <c:v>421</c:v>
                </c:pt>
                <c:pt idx="179">
                  <c:v>413.9</c:v>
                </c:pt>
                <c:pt idx="180">
                  <c:v>418.2</c:v>
                </c:pt>
                <c:pt idx="181">
                  <c:v>417.4</c:v>
                </c:pt>
                <c:pt idx="182">
                  <c:v>415.9</c:v>
                </c:pt>
                <c:pt idx="183">
                  <c:v>416</c:v>
                </c:pt>
                <c:pt idx="184">
                  <c:v>418.55</c:v>
                </c:pt>
                <c:pt idx="185">
                  <c:v>413.9</c:v>
                </c:pt>
                <c:pt idx="186">
                  <c:v>414.35</c:v>
                </c:pt>
                <c:pt idx="187">
                  <c:v>416.35</c:v>
                </c:pt>
                <c:pt idx="188">
                  <c:v>420.3</c:v>
                </c:pt>
                <c:pt idx="189">
                  <c:v>418.65</c:v>
                </c:pt>
                <c:pt idx="190">
                  <c:v>416.45</c:v>
                </c:pt>
                <c:pt idx="191">
                  <c:v>415.1</c:v>
                </c:pt>
                <c:pt idx="192">
                  <c:v>412.95</c:v>
                </c:pt>
                <c:pt idx="193">
                  <c:v>413.35</c:v>
                </c:pt>
                <c:pt idx="194">
                  <c:v>412.55</c:v>
                </c:pt>
                <c:pt idx="195">
                  <c:v>416.15</c:v>
                </c:pt>
                <c:pt idx="196">
                  <c:v>417.2</c:v>
                </c:pt>
                <c:pt idx="197">
                  <c:v>419.45</c:v>
                </c:pt>
                <c:pt idx="198">
                  <c:v>416.85</c:v>
                </c:pt>
                <c:pt idx="199">
                  <c:v>416.8</c:v>
                </c:pt>
                <c:pt idx="200">
                  <c:v>419.4</c:v>
                </c:pt>
                <c:pt idx="201">
                  <c:v>422.1</c:v>
                </c:pt>
                <c:pt idx="202">
                  <c:v>424.6</c:v>
                </c:pt>
                <c:pt idx="203">
                  <c:v>423.95</c:v>
                </c:pt>
                <c:pt idx="204">
                  <c:v>422.75</c:v>
                </c:pt>
                <c:pt idx="205">
                  <c:v>420.1</c:v>
                </c:pt>
                <c:pt idx="206">
                  <c:v>416</c:v>
                </c:pt>
                <c:pt idx="207">
                  <c:v>414.95</c:v>
                </c:pt>
                <c:pt idx="208">
                  <c:v>409.95</c:v>
                </c:pt>
                <c:pt idx="209">
                  <c:v>409.4</c:v>
                </c:pt>
                <c:pt idx="210">
                  <c:v>409.9</c:v>
                </c:pt>
                <c:pt idx="211">
                  <c:v>408.45</c:v>
                </c:pt>
                <c:pt idx="212">
                  <c:v>407.6</c:v>
                </c:pt>
                <c:pt idx="213">
                  <c:v>411.95</c:v>
                </c:pt>
                <c:pt idx="214">
                  <c:v>416.45</c:v>
                </c:pt>
                <c:pt idx="215">
                  <c:v>416.85</c:v>
                </c:pt>
                <c:pt idx="216">
                  <c:v>414.15</c:v>
                </c:pt>
                <c:pt idx="217">
                  <c:v>412</c:v>
                </c:pt>
                <c:pt idx="218">
                  <c:v>413.6</c:v>
                </c:pt>
                <c:pt idx="219">
                  <c:v>414.5</c:v>
                </c:pt>
                <c:pt idx="220">
                  <c:v>416.85</c:v>
                </c:pt>
                <c:pt idx="221">
                  <c:v>416.35</c:v>
                </c:pt>
                <c:pt idx="222">
                  <c:v>414.1</c:v>
                </c:pt>
                <c:pt idx="223">
                  <c:v>411.45</c:v>
                </c:pt>
                <c:pt idx="224">
                  <c:v>406.3</c:v>
                </c:pt>
                <c:pt idx="225">
                  <c:v>409.1</c:v>
                </c:pt>
                <c:pt idx="226">
                  <c:v>406.05</c:v>
                </c:pt>
                <c:pt idx="227">
                  <c:v>405.55</c:v>
                </c:pt>
                <c:pt idx="228">
                  <c:v>398.3</c:v>
                </c:pt>
                <c:pt idx="229">
                  <c:v>399.35</c:v>
                </c:pt>
                <c:pt idx="230">
                  <c:v>403.35</c:v>
                </c:pt>
                <c:pt idx="231">
                  <c:v>400.9</c:v>
                </c:pt>
                <c:pt idx="232">
                  <c:v>409.75</c:v>
                </c:pt>
                <c:pt idx="233">
                  <c:v>405.85</c:v>
                </c:pt>
                <c:pt idx="234">
                  <c:v>406.75</c:v>
                </c:pt>
                <c:pt idx="235">
                  <c:v>411.75</c:v>
                </c:pt>
                <c:pt idx="236">
                  <c:v>415.9</c:v>
                </c:pt>
                <c:pt idx="237">
                  <c:v>407.35</c:v>
                </c:pt>
                <c:pt idx="238">
                  <c:v>407.55</c:v>
                </c:pt>
                <c:pt idx="239">
                  <c:v>410.05</c:v>
                </c:pt>
                <c:pt idx="240">
                  <c:v>413.05</c:v>
                </c:pt>
                <c:pt idx="241">
                  <c:v>415.05</c:v>
                </c:pt>
                <c:pt idx="242">
                  <c:v>413.75</c:v>
                </c:pt>
                <c:pt idx="243">
                  <c:v>412.65</c:v>
                </c:pt>
                <c:pt idx="244">
                  <c:v>413.1</c:v>
                </c:pt>
                <c:pt idx="245">
                  <c:v>409.3</c:v>
                </c:pt>
                <c:pt idx="246">
                  <c:v>411.55</c:v>
                </c:pt>
                <c:pt idx="247">
                  <c:v>410.65</c:v>
                </c:pt>
                <c:pt idx="248">
                  <c:v>406.95</c:v>
                </c:pt>
                <c:pt idx="249">
                  <c:v>403.2</c:v>
                </c:pt>
              </c:numCache>
            </c:numRef>
          </c:val>
          <c:smooth val="0"/>
          <c:extLst>
            <c:ext xmlns:c16="http://schemas.microsoft.com/office/drawing/2014/chart" uri="{C3380CC4-5D6E-409C-BE32-E72D297353CC}">
              <c16:uniqueId val="{00000000-1177-894B-AC9C-257DFCB73361}"/>
            </c:ext>
          </c:extLst>
        </c:ser>
        <c:dLbls>
          <c:showLegendKey val="0"/>
          <c:showVal val="0"/>
          <c:showCatName val="0"/>
          <c:showSerName val="0"/>
          <c:showPercent val="0"/>
          <c:showBubbleSize val="0"/>
        </c:dLbls>
        <c:hiLowLines>
          <c:spPr>
            <a:ln w="0">
              <a:noFill/>
            </a:ln>
          </c:spPr>
        </c:hiLowLines>
        <c:smooth val="0"/>
        <c:axId val="71915254"/>
        <c:axId val="70889230"/>
      </c:lineChart>
      <c:dateAx>
        <c:axId val="71915254"/>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0889230"/>
        <c:crosses val="autoZero"/>
        <c:auto val="1"/>
        <c:lblOffset val="100"/>
        <c:baseTimeUnit val="days"/>
      </c:dateAx>
      <c:valAx>
        <c:axId val="70889230"/>
        <c:scaling>
          <c:orientation val="minMax"/>
        </c:scaling>
        <c:delete val="0"/>
        <c:axPos val="l"/>
        <c:majorGridlines>
          <c:spPr>
            <a:ln w="9360">
              <a:solidFill>
                <a:srgbClr val="878787"/>
              </a:solidFill>
              <a:round/>
            </a:ln>
          </c:spPr>
        </c:majorGridlines>
        <c:numFmt formatCode="#,##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1915254"/>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Implied real-world discount rate by trigger level</a:t>
            </a:r>
          </a:p>
        </c:rich>
      </c:tx>
      <c:overlay val="0"/>
      <c:spPr>
        <a:noFill/>
        <a:ln w="0">
          <a:noFill/>
        </a:ln>
      </c:spPr>
    </c:title>
    <c:autoTitleDeleted val="0"/>
    <c:plotArea>
      <c:layout/>
      <c:barChart>
        <c:barDir val="col"/>
        <c:grouping val="clustered"/>
        <c:varyColors val="0"/>
        <c:ser>
          <c:idx val="0"/>
          <c:order val="0"/>
          <c:tx>
            <c:strRef>
              <c:f>'P6 Binary Two Worlds'!$E$34</c:f>
              <c:strCache>
                <c:ptCount val="1"/>
                <c:pt idx="0">
                  <c:v>Implied rate</c:v>
                </c:pt>
              </c:strCache>
            </c:strRef>
          </c:tx>
          <c:spPr>
            <a:solidFill>
              <a:srgbClr val="1E7F82"/>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'P6 Binary Two Worlds'!$A$35:$A$40</c:f>
              <c:numCache>
                <c:formatCode>\$#,##0;[Red]"($"#,##0\);\-</c:formatCode>
                <c:ptCount val="6"/>
                <c:pt idx="0">
                  <c:v>30</c:v>
                </c:pt>
                <c:pt idx="1">
                  <c:v>35</c:v>
                </c:pt>
                <c:pt idx="2">
                  <c:v>40</c:v>
                </c:pt>
                <c:pt idx="3">
                  <c:v>45</c:v>
                </c:pt>
                <c:pt idx="4">
                  <c:v>50</c:v>
                </c:pt>
                <c:pt idx="5">
                  <c:v>55</c:v>
                </c:pt>
              </c:numCache>
            </c:numRef>
          </c:cat>
          <c:val>
            <c:numRef>
              <c:f>'P6 Binary Two Worlds'!$E$35:$E$40</c:f>
              <c:numCache>
                <c:formatCode>0.0%</c:formatCode>
                <c:ptCount val="6"/>
                <c:pt idx="0">
                  <c:v>0.20650388964151487</c:v>
                </c:pt>
                <c:pt idx="1">
                  <c:v>0.28737639362536843</c:v>
                </c:pt>
                <c:pt idx="2">
                  <c:v>0.36596208926329715</c:v>
                </c:pt>
                <c:pt idx="3">
                  <c:v>0.44019322171572856</c:v>
                </c:pt>
                <c:pt idx="4">
                  <c:v>0.50957704452017427</c:v>
                </c:pt>
                <c:pt idx="5">
                  <c:v>0.5742466811464112</c:v>
                </c:pt>
              </c:numCache>
            </c:numRef>
          </c:val>
          <c:extLst>
            <c:ext xmlns:c16="http://schemas.microsoft.com/office/drawing/2014/chart" uri="{C3380CC4-5D6E-409C-BE32-E72D297353CC}">
              <c16:uniqueId val="{00000000-C444-0D4D-8D71-88FB582D3A7A}"/>
            </c:ext>
          </c:extLst>
        </c:ser>
        <c:dLbls>
          <c:showLegendKey val="0"/>
          <c:showVal val="0"/>
          <c:showCatName val="0"/>
          <c:showSerName val="0"/>
          <c:showPercent val="0"/>
          <c:showBubbleSize val="0"/>
        </c:dLbls>
        <c:gapWidth val="150"/>
        <c:axId val="80903985"/>
        <c:axId val="10245773"/>
      </c:barChart>
      <c:catAx>
        <c:axId val="80903985"/>
        <c:scaling>
          <c:orientation val="minMax"/>
        </c:scaling>
        <c:delete val="0"/>
        <c:axPos val="b"/>
        <c:numFmt formatCode="\$#,##0;[Red]&quot;($&quot;#,##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0245773"/>
        <c:crosses val="autoZero"/>
        <c:auto val="1"/>
        <c:lblAlgn val="ctr"/>
        <c:lblOffset val="100"/>
        <c:noMultiLvlLbl val="0"/>
      </c:catAx>
      <c:valAx>
        <c:axId val="10245773"/>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090398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27</xdr:row>
      <xdr:rowOff>11520</xdr:rowOff>
    </xdr:from>
    <xdr:to>
      <xdr:col>2</xdr:col>
      <xdr:colOff>1812600</xdr:colOff>
      <xdr:row>41</xdr:row>
      <xdr:rowOff>44280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42</xdr:row>
      <xdr:rowOff>210600</xdr:rowOff>
    </xdr:from>
    <xdr:to>
      <xdr:col>2</xdr:col>
      <xdr:colOff>1812600</xdr:colOff>
      <xdr:row>55</xdr:row>
      <xdr:rowOff>186120</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Downloads/FRM_Session5_Solved_Problems.xlsx" TargetMode="External"/><Relationship Id="rId13" Type="http://schemas.openxmlformats.org/officeDocument/2006/relationships/hyperlink" Target="../../../../../../../../../../Downloads/FRM_Session5_Solved_Problems.xlsx" TargetMode="External"/><Relationship Id="rId3" Type="http://schemas.openxmlformats.org/officeDocument/2006/relationships/hyperlink" Target="../../../../../../../../../../Downloads/FRM_Session5_Solved_Problems.xlsx" TargetMode="External"/><Relationship Id="rId7" Type="http://schemas.openxmlformats.org/officeDocument/2006/relationships/hyperlink" Target="../../../../../../../../../../Downloads/FRM_Session5_Solved_Problems.xlsx" TargetMode="External"/><Relationship Id="rId12" Type="http://schemas.openxmlformats.org/officeDocument/2006/relationships/hyperlink" Target="../../../../../../../../../../Downloads/FRM_Session5_Solved_Problems.xlsx" TargetMode="External"/><Relationship Id="rId2" Type="http://schemas.openxmlformats.org/officeDocument/2006/relationships/hyperlink" Target="../../../../../../../../../../Downloads/FRM_Session5_Solved_Problems.xlsx" TargetMode="External"/><Relationship Id="rId16" Type="http://schemas.openxmlformats.org/officeDocument/2006/relationships/hyperlink" Target="../../../../../../../../../../Downloads/FRM_Session5_Solved_Problems.xlsx" TargetMode="External"/><Relationship Id="rId1" Type="http://schemas.openxmlformats.org/officeDocument/2006/relationships/hyperlink" Target="../../../../../../../../../../Downloads/FRM_Session5_Solved_Problems.xlsx" TargetMode="External"/><Relationship Id="rId6" Type="http://schemas.openxmlformats.org/officeDocument/2006/relationships/hyperlink" Target="../../../../../../../../../../Downloads/FRM_Session5_Solved_Problems.xlsx" TargetMode="External"/><Relationship Id="rId11" Type="http://schemas.openxmlformats.org/officeDocument/2006/relationships/hyperlink" Target="../../../../../../../../../../Downloads/FRM_Session5_Solved_Problems.xlsx" TargetMode="External"/><Relationship Id="rId5" Type="http://schemas.openxmlformats.org/officeDocument/2006/relationships/hyperlink" Target="../../../../../../../../../../Downloads/FRM_Session5_Solved_Problems.xlsx" TargetMode="External"/><Relationship Id="rId15" Type="http://schemas.openxmlformats.org/officeDocument/2006/relationships/hyperlink" Target="../../../../../../../../../../Downloads/FRM_Session5_Solved_Problems.xlsx" TargetMode="External"/><Relationship Id="rId10" Type="http://schemas.openxmlformats.org/officeDocument/2006/relationships/hyperlink" Target="../../../../../../../../../../Downloads/FRM_Session5_Solved_Problems.xlsx" TargetMode="External"/><Relationship Id="rId4" Type="http://schemas.openxmlformats.org/officeDocument/2006/relationships/hyperlink" Target="../../../../../../../../../../Downloads/FRM_Session5_Solved_Problems.xlsx" TargetMode="External"/><Relationship Id="rId9" Type="http://schemas.openxmlformats.org/officeDocument/2006/relationships/hyperlink" Target="../../../../../../../../../../Downloads/FRM_Session5_Solved_Problems.xlsx" TargetMode="External"/><Relationship Id="rId14" Type="http://schemas.openxmlformats.org/officeDocument/2006/relationships/hyperlink" Target="../../../../../../../../../../Downloads/FRM_Session5_Solved_Problems.xls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Downloads/FRM_Session5_Solved_Problems.xlsx" TargetMode="External"/><Relationship Id="rId13" Type="http://schemas.openxmlformats.org/officeDocument/2006/relationships/hyperlink" Target="../../../../../../../../../../Downloads/FRM_Session5_Solved_Problems.xlsx" TargetMode="External"/><Relationship Id="rId18" Type="http://schemas.openxmlformats.org/officeDocument/2006/relationships/hyperlink" Target="../../../../../../../../../../Downloads/FRM_Session5_Solved_Problems.xlsx" TargetMode="External"/><Relationship Id="rId26" Type="http://schemas.openxmlformats.org/officeDocument/2006/relationships/hyperlink" Target="../../../../../../../../../../Downloads/FRM_Session5_Solved_Problems.xlsx" TargetMode="External"/><Relationship Id="rId3" Type="http://schemas.openxmlformats.org/officeDocument/2006/relationships/hyperlink" Target="../../../../../../../../../../Downloads/FRM_Session5_Solved_Problems.xlsx" TargetMode="External"/><Relationship Id="rId21" Type="http://schemas.openxmlformats.org/officeDocument/2006/relationships/hyperlink" Target="../../../../../../../../../../Downloads/FRM_Session5_Solved_Problems.xlsx" TargetMode="External"/><Relationship Id="rId7" Type="http://schemas.openxmlformats.org/officeDocument/2006/relationships/hyperlink" Target="../../../../../../../../../../Downloads/FRM_Session5_Solved_Problems.xlsx" TargetMode="External"/><Relationship Id="rId12" Type="http://schemas.openxmlformats.org/officeDocument/2006/relationships/hyperlink" Target="../../../../../../../../../../Downloads/FRM_Session5_Solved_Problems.xlsx" TargetMode="External"/><Relationship Id="rId17" Type="http://schemas.openxmlformats.org/officeDocument/2006/relationships/hyperlink" Target="../../../../../../../../../../Downloads/FRM_Session5_Solved_Problems.xlsx" TargetMode="External"/><Relationship Id="rId25" Type="http://schemas.openxmlformats.org/officeDocument/2006/relationships/hyperlink" Target="../../../../../../../../../../Downloads/FRM_Session5_Solved_Problems.xlsx" TargetMode="External"/><Relationship Id="rId2" Type="http://schemas.openxmlformats.org/officeDocument/2006/relationships/hyperlink" Target="../../../../../../../../../../Downloads/FRM_Session5_Solved_Problems.xlsx" TargetMode="External"/><Relationship Id="rId16" Type="http://schemas.openxmlformats.org/officeDocument/2006/relationships/hyperlink" Target="../../../../../../../../../../Downloads/FRM_Session5_Solved_Problems.xlsx" TargetMode="External"/><Relationship Id="rId20" Type="http://schemas.openxmlformats.org/officeDocument/2006/relationships/hyperlink" Target="../../../../../../../../../../Downloads/FRM_Session5_Solved_Problems.xlsx" TargetMode="External"/><Relationship Id="rId29" Type="http://schemas.openxmlformats.org/officeDocument/2006/relationships/hyperlink" Target="../../../../../../../../../../Downloads/FRM_Session5_Solved_Problems.xlsx" TargetMode="External"/><Relationship Id="rId1" Type="http://schemas.openxmlformats.org/officeDocument/2006/relationships/hyperlink" Target="../../../../../../../../../../Downloads/FRM_Session5_Solved_Problems.xlsx" TargetMode="External"/><Relationship Id="rId6" Type="http://schemas.openxmlformats.org/officeDocument/2006/relationships/hyperlink" Target="../../../../../../../../../../Downloads/FRM_Session5_Solved_Problems.xlsx" TargetMode="External"/><Relationship Id="rId11" Type="http://schemas.openxmlformats.org/officeDocument/2006/relationships/hyperlink" Target="../../../../../../../../../../Downloads/FRM_Session5_Solved_Problems.xlsx" TargetMode="External"/><Relationship Id="rId24" Type="http://schemas.openxmlformats.org/officeDocument/2006/relationships/hyperlink" Target="../../../../../../../../../../Downloads/FRM_Session5_Solved_Problems.xlsx" TargetMode="External"/><Relationship Id="rId5" Type="http://schemas.openxmlformats.org/officeDocument/2006/relationships/hyperlink" Target="../../../../../../../../../../Downloads/FRM_Session5_Solved_Problems.xlsx" TargetMode="External"/><Relationship Id="rId15" Type="http://schemas.openxmlformats.org/officeDocument/2006/relationships/hyperlink" Target="../../../../../../../../../../Downloads/FRM_Session5_Solved_Problems.xlsx" TargetMode="External"/><Relationship Id="rId23" Type="http://schemas.openxmlformats.org/officeDocument/2006/relationships/hyperlink" Target="../../../../../../../../../../Downloads/FRM_Session5_Solved_Problems.xlsx" TargetMode="External"/><Relationship Id="rId28" Type="http://schemas.openxmlformats.org/officeDocument/2006/relationships/hyperlink" Target="../../../../../../../../../../Downloads/FRM_Session5_Solved_Problems.xlsx" TargetMode="External"/><Relationship Id="rId10" Type="http://schemas.openxmlformats.org/officeDocument/2006/relationships/hyperlink" Target="../../../../../../../../../../Downloads/FRM_Session5_Solved_Problems.xlsx" TargetMode="External"/><Relationship Id="rId19" Type="http://schemas.openxmlformats.org/officeDocument/2006/relationships/hyperlink" Target="../../../../../../../../../../Downloads/FRM_Session5_Solved_Problems.xlsx" TargetMode="External"/><Relationship Id="rId4" Type="http://schemas.openxmlformats.org/officeDocument/2006/relationships/hyperlink" Target="../../../../../../../../../../Downloads/FRM_Session5_Solved_Problems.xlsx" TargetMode="External"/><Relationship Id="rId9" Type="http://schemas.openxmlformats.org/officeDocument/2006/relationships/hyperlink" Target="../../../../../../../../../../Downloads/FRM_Session5_Solved_Problems.xlsx" TargetMode="External"/><Relationship Id="rId14" Type="http://schemas.openxmlformats.org/officeDocument/2006/relationships/hyperlink" Target="../../../../../../../../../../Downloads/FRM_Session5_Solved_Problems.xlsx" TargetMode="External"/><Relationship Id="rId22" Type="http://schemas.openxmlformats.org/officeDocument/2006/relationships/hyperlink" Target="../../../../../../../../../../Downloads/FRM_Session5_Solved_Problems.xlsx" TargetMode="External"/><Relationship Id="rId27" Type="http://schemas.openxmlformats.org/officeDocument/2006/relationships/hyperlink" Target="../../../../../../../../../../Downloads/FRM_Session5_Solved_Problems.xls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D2330"/>
    <pageSetUpPr fitToPage="1"/>
  </sheetPr>
  <dimension ref="A1:F33"/>
  <sheetViews>
    <sheetView showGridLines="0" topLeftCell="A5" zoomScaleNormal="100" workbookViewId="0">
      <selection sqref="A1:F1"/>
    </sheetView>
  </sheetViews>
  <sheetFormatPr baseColWidth="10" defaultColWidth="8.6640625" defaultRowHeight="15" x14ac:dyDescent="0.2"/>
  <cols>
    <col min="1" max="1" width="8" customWidth="1"/>
    <col min="2" max="2" width="26" customWidth="1"/>
    <col min="3" max="3" width="40" customWidth="1"/>
    <col min="4" max="4" width="18" customWidth="1"/>
    <col min="5" max="5" width="26" customWidth="1"/>
    <col min="6" max="6" width="16" customWidth="1"/>
  </cols>
  <sheetData>
    <row r="1" spans="1:6" ht="31.5" customHeight="1" x14ac:dyDescent="0.2">
      <c r="A1" s="12" t="s">
        <v>0</v>
      </c>
      <c r="B1" s="12"/>
      <c r="C1" s="12"/>
      <c r="D1" s="12"/>
      <c r="E1" s="12"/>
      <c r="F1" s="12"/>
    </row>
    <row r="2" spans="1:6" ht="33.75" customHeight="1" x14ac:dyDescent="0.25">
      <c r="A2" s="11" t="s">
        <v>1</v>
      </c>
      <c r="B2" s="11"/>
      <c r="C2" s="11"/>
      <c r="D2" s="11"/>
      <c r="E2" s="11"/>
      <c r="F2" s="11"/>
    </row>
    <row r="3" spans="1:6" ht="16" x14ac:dyDescent="0.2">
      <c r="A3" s="10" t="s">
        <v>2</v>
      </c>
      <c r="B3" s="10"/>
      <c r="C3" s="10"/>
      <c r="D3" s="10"/>
      <c r="E3" s="10"/>
      <c r="F3" s="10"/>
    </row>
    <row r="4" spans="1:6" ht="19" x14ac:dyDescent="0.25">
      <c r="A4" s="9" t="s">
        <v>3</v>
      </c>
      <c r="B4" s="9"/>
      <c r="C4" s="9"/>
      <c r="D4" s="9"/>
      <c r="E4" s="9"/>
      <c r="F4" s="9"/>
    </row>
    <row r="5" spans="1:6" ht="25.5" customHeight="1" x14ac:dyDescent="0.2">
      <c r="A5" s="8" t="s">
        <v>4</v>
      </c>
      <c r="B5" s="8"/>
      <c r="C5" s="8"/>
      <c r="D5" s="8"/>
      <c r="E5" s="8"/>
      <c r="F5" s="8"/>
    </row>
    <row r="6" spans="1:6" ht="19" x14ac:dyDescent="0.25">
      <c r="A6" s="13" t="s">
        <v>5</v>
      </c>
      <c r="B6" s="13" t="s">
        <v>6</v>
      </c>
      <c r="C6" s="13" t="s">
        <v>7</v>
      </c>
      <c r="D6" s="13" t="s">
        <v>8</v>
      </c>
      <c r="E6" s="13" t="s">
        <v>9</v>
      </c>
      <c r="F6" s="13" t="s">
        <v>10</v>
      </c>
    </row>
    <row r="7" spans="1:6" ht="19" x14ac:dyDescent="0.25">
      <c r="A7" s="14">
        <v>1</v>
      </c>
      <c r="B7" s="15" t="s">
        <v>11</v>
      </c>
      <c r="C7" s="16" t="s">
        <v>12</v>
      </c>
      <c r="D7" s="16" t="s">
        <v>13</v>
      </c>
      <c r="E7" s="17">
        <f>'P1 Prob Above'!$D$20</f>
        <v>0.31472461094635718</v>
      </c>
      <c r="F7" s="18" t="str">
        <f>'P1 Prob Above'!$E$26</f>
        <v>MATCH</v>
      </c>
    </row>
    <row r="8" spans="1:6" ht="19" x14ac:dyDescent="0.25">
      <c r="A8" s="14">
        <v>2</v>
      </c>
      <c r="B8" s="15" t="s">
        <v>14</v>
      </c>
      <c r="C8" s="16" t="s">
        <v>15</v>
      </c>
      <c r="D8" s="16" t="s">
        <v>16</v>
      </c>
      <c r="E8" s="19">
        <f>'P2 Percentile'!$D$20</f>
        <v>97.247363043676785</v>
      </c>
      <c r="F8" s="18" t="str">
        <f>'P2 Percentile'!$E$26</f>
        <v>MATCH</v>
      </c>
    </row>
    <row r="9" spans="1:6" ht="19" x14ac:dyDescent="0.25">
      <c r="A9" s="14">
        <v>3</v>
      </c>
      <c r="B9" s="15" t="s">
        <v>17</v>
      </c>
      <c r="C9" s="16" t="s">
        <v>18</v>
      </c>
      <c r="D9" s="16" t="s">
        <v>19</v>
      </c>
      <c r="E9" s="17">
        <f>'P3 Prob Below'!$D$20</f>
        <v>0.10983975737631445</v>
      </c>
      <c r="F9" s="18" t="str">
        <f>'P3 Prob Below'!$E$27</f>
        <v>MATCH</v>
      </c>
    </row>
    <row r="10" spans="1:6" ht="19" x14ac:dyDescent="0.25">
      <c r="A10" s="14">
        <v>4</v>
      </c>
      <c r="B10" s="15" t="s">
        <v>20</v>
      </c>
      <c r="C10" s="16" t="s">
        <v>21</v>
      </c>
      <c r="D10" s="16" t="s">
        <v>22</v>
      </c>
      <c r="E10" s="17">
        <f>'P4 ITC Data'!$D$21</f>
        <v>2.7376374857468435E-2</v>
      </c>
      <c r="F10" s="20" t="s">
        <v>23</v>
      </c>
    </row>
    <row r="11" spans="1:6" ht="19" x14ac:dyDescent="0.25">
      <c r="A11" s="14">
        <v>5</v>
      </c>
      <c r="B11" s="15" t="s">
        <v>24</v>
      </c>
      <c r="C11" s="16" t="s">
        <v>25</v>
      </c>
      <c r="D11" s="16" t="s">
        <v>26</v>
      </c>
      <c r="E11" s="21">
        <f>'P5 Forward'!$D$20</f>
        <v>1.7970493471336795</v>
      </c>
      <c r="F11" s="18" t="str">
        <f>'P5 Forward'!$E$27</f>
        <v>MATCH</v>
      </c>
    </row>
    <row r="12" spans="1:6" ht="19" x14ac:dyDescent="0.25">
      <c r="A12" s="14">
        <v>6</v>
      </c>
      <c r="B12" s="15" t="s">
        <v>27</v>
      </c>
      <c r="C12" s="16" t="s">
        <v>28</v>
      </c>
      <c r="D12" s="16" t="s">
        <v>29</v>
      </c>
      <c r="E12" s="19">
        <f>'P6 Binary Two Worlds'!$D$21</f>
        <v>15.187632451476807</v>
      </c>
      <c r="F12" s="18" t="str">
        <f>'P6 Binary Two Worlds'!$E$31</f>
        <v>MATCH</v>
      </c>
    </row>
    <row r="13" spans="1:6" ht="19" x14ac:dyDescent="0.25">
      <c r="A13" s="14">
        <v>7</v>
      </c>
      <c r="B13" s="15" t="s">
        <v>30</v>
      </c>
      <c r="C13" s="16" t="s">
        <v>31</v>
      </c>
      <c r="D13" s="16" t="s">
        <v>32</v>
      </c>
      <c r="E13" s="19">
        <f>'P7 Binary 7.12'!$D$20</f>
        <v>281.4110828592656</v>
      </c>
      <c r="F13" s="18" t="str">
        <f>'P7 Binary 7.12'!$E$30</f>
        <v>MATCH</v>
      </c>
    </row>
    <row r="14" spans="1:6" ht="19" x14ac:dyDescent="0.25">
      <c r="A14" s="14">
        <v>8</v>
      </c>
      <c r="B14" s="15" t="s">
        <v>33</v>
      </c>
      <c r="C14" s="16" t="s">
        <v>34</v>
      </c>
      <c r="D14" s="16" t="s">
        <v>35</v>
      </c>
      <c r="E14" s="19">
        <f>'P8 Binary 7.6'!$D$20</f>
        <v>10.65970165328179</v>
      </c>
      <c r="F14" s="18" t="str">
        <f>'P8 Binary 7.6'!$E$28</f>
        <v>MATCH</v>
      </c>
    </row>
    <row r="15" spans="1:6" ht="19" x14ac:dyDescent="0.25">
      <c r="A15" s="14">
        <v>9</v>
      </c>
      <c r="B15" s="15" t="s">
        <v>36</v>
      </c>
      <c r="C15" s="16" t="s">
        <v>37</v>
      </c>
      <c r="D15" s="16" t="s">
        <v>38</v>
      </c>
      <c r="E15" s="17">
        <f>'P9 State Prices'!$D$19</f>
        <v>3.0612244897959183E-2</v>
      </c>
      <c r="F15" s="18" t="str">
        <f>'P9 State Prices'!$E$26</f>
        <v>MATCH</v>
      </c>
    </row>
    <row r="16" spans="1:6" ht="19" x14ac:dyDescent="0.25">
      <c r="A16" s="14">
        <v>10</v>
      </c>
      <c r="B16" s="15" t="s">
        <v>39</v>
      </c>
      <c r="C16" s="16" t="s">
        <v>40</v>
      </c>
      <c r="D16" s="16" t="s">
        <v>41</v>
      </c>
      <c r="E16" s="22">
        <f>'P10 VaR Shares'!$D$23</f>
        <v>123918.75529879634</v>
      </c>
      <c r="F16" s="18" t="str">
        <f>'P10 VaR Shares'!$E$29</f>
        <v>MATCH</v>
      </c>
    </row>
    <row r="17" spans="1:6" ht="19" x14ac:dyDescent="0.25">
      <c r="A17" s="14">
        <v>11</v>
      </c>
      <c r="B17" s="15" t="s">
        <v>42</v>
      </c>
      <c r="C17" s="16" t="s">
        <v>43</v>
      </c>
      <c r="D17" s="16" t="s">
        <v>44</v>
      </c>
      <c r="E17" s="22">
        <f>'P11 Worst Case'!$D$21</f>
        <v>593250.33276909695</v>
      </c>
      <c r="F17" s="18" t="str">
        <f>'P11 Worst Case'!$E$28</f>
        <v>MATCH</v>
      </c>
    </row>
    <row r="18" spans="1:6" ht="19" x14ac:dyDescent="0.25">
      <c r="A18" s="14">
        <v>12</v>
      </c>
      <c r="B18" s="15" t="s">
        <v>45</v>
      </c>
      <c r="C18" s="16" t="s">
        <v>46</v>
      </c>
      <c r="D18" s="16" t="s">
        <v>47</v>
      </c>
      <c r="E18" s="23">
        <f>'P12 PNB SBI'!$D$28</f>
        <v>134090.50998037809</v>
      </c>
      <c r="F18" s="20" t="s">
        <v>23</v>
      </c>
    </row>
    <row r="19" spans="1:6" ht="19" x14ac:dyDescent="0.25">
      <c r="A19" s="14">
        <v>13</v>
      </c>
      <c r="B19" s="15" t="s">
        <v>48</v>
      </c>
      <c r="C19" s="16" t="s">
        <v>49</v>
      </c>
      <c r="D19" s="16" t="s">
        <v>50</v>
      </c>
      <c r="E19" s="21">
        <f>'P13 Both Worlds'!$D$25</f>
        <v>-31.605067317284863</v>
      </c>
      <c r="F19" s="18" t="str">
        <f>'P13 Both Worlds'!$E$31</f>
        <v>MATCH</v>
      </c>
    </row>
    <row r="20" spans="1:6" ht="19" x14ac:dyDescent="0.25">
      <c r="A20" s="14">
        <v>14</v>
      </c>
      <c r="B20" s="15" t="s">
        <v>51</v>
      </c>
      <c r="C20" s="16" t="s">
        <v>52</v>
      </c>
      <c r="D20" s="16" t="s">
        <v>38</v>
      </c>
      <c r="E20" s="21">
        <f>'P14 Monte Carlo'!$D$22</f>
        <v>-30.46119317290281</v>
      </c>
      <c r="F20" s="20" t="s">
        <v>53</v>
      </c>
    </row>
    <row r="21" spans="1:6" ht="19" x14ac:dyDescent="0.25">
      <c r="A21" s="14">
        <v>15</v>
      </c>
      <c r="B21" s="15" t="s">
        <v>54</v>
      </c>
      <c r="C21" s="16" t="s">
        <v>55</v>
      </c>
      <c r="D21" s="16" t="s">
        <v>35</v>
      </c>
      <c r="E21" s="17">
        <f>'P15 CAPM Lambda'!$D$21</f>
        <v>3.5999999999999997E-2</v>
      </c>
      <c r="F21" s="18" t="str">
        <f>'P15 CAPM Lambda'!$E$27</f>
        <v>MATCH</v>
      </c>
    </row>
    <row r="24" spans="1:6" ht="25.5" customHeight="1" x14ac:dyDescent="0.2">
      <c r="A24" s="8" t="s">
        <v>56</v>
      </c>
      <c r="B24" s="8"/>
      <c r="C24" s="8"/>
      <c r="D24" s="8"/>
      <c r="E24" s="8"/>
      <c r="F24" s="8"/>
    </row>
    <row r="25" spans="1:6" ht="19" x14ac:dyDescent="0.25">
      <c r="B25" s="24" t="s">
        <v>57</v>
      </c>
      <c r="C25" s="7" t="s">
        <v>58</v>
      </c>
      <c r="D25" s="7"/>
      <c r="E25" s="7"/>
      <c r="F25" s="7"/>
    </row>
    <row r="26" spans="1:6" ht="19" x14ac:dyDescent="0.25">
      <c r="B26" s="25" t="s">
        <v>59</v>
      </c>
      <c r="C26" s="7" t="s">
        <v>60</v>
      </c>
      <c r="D26" s="7"/>
      <c r="E26" s="7"/>
      <c r="F26" s="7"/>
    </row>
    <row r="27" spans="1:6" ht="19" x14ac:dyDescent="0.25">
      <c r="B27" s="26" t="s">
        <v>61</v>
      </c>
      <c r="C27" s="7" t="s">
        <v>62</v>
      </c>
      <c r="D27" s="7"/>
      <c r="E27" s="7"/>
      <c r="F27" s="7"/>
    </row>
    <row r="28" spans="1:6" ht="19" x14ac:dyDescent="0.25">
      <c r="B28" s="27" t="s">
        <v>63</v>
      </c>
      <c r="C28" s="7" t="s">
        <v>64</v>
      </c>
      <c r="D28" s="7"/>
      <c r="E28" s="7"/>
      <c r="F28" s="7"/>
    </row>
    <row r="29" spans="1:6" ht="19" x14ac:dyDescent="0.25">
      <c r="B29" s="28" t="s">
        <v>65</v>
      </c>
      <c r="C29" s="7" t="s">
        <v>66</v>
      </c>
      <c r="D29" s="7"/>
      <c r="E29" s="7"/>
      <c r="F29" s="7"/>
    </row>
    <row r="30" spans="1:6" ht="19" x14ac:dyDescent="0.25">
      <c r="B30" s="29" t="s">
        <v>67</v>
      </c>
      <c r="C30" s="7" t="s">
        <v>68</v>
      </c>
      <c r="D30" s="7"/>
      <c r="E30" s="7"/>
      <c r="F30" s="7"/>
    </row>
    <row r="32" spans="1:6" ht="30" customHeight="1" x14ac:dyDescent="0.2">
      <c r="A32" s="6" t="s">
        <v>69</v>
      </c>
      <c r="B32" s="6"/>
      <c r="C32" s="6"/>
      <c r="D32" s="6"/>
      <c r="E32" s="6"/>
      <c r="F32" s="6"/>
    </row>
    <row r="33" spans="1:6" ht="30" customHeight="1" x14ac:dyDescent="0.2">
      <c r="A33" s="6"/>
      <c r="B33" s="6"/>
      <c r="C33" s="6"/>
      <c r="D33" s="6"/>
      <c r="E33" s="6"/>
      <c r="F33" s="6"/>
    </row>
  </sheetData>
  <mergeCells count="13">
    <mergeCell ref="C29:F29"/>
    <mergeCell ref="C30:F30"/>
    <mergeCell ref="A32:F33"/>
    <mergeCell ref="A24:F24"/>
    <mergeCell ref="C25:F25"/>
    <mergeCell ref="C26:F26"/>
    <mergeCell ref="C27:F27"/>
    <mergeCell ref="C28:F28"/>
    <mergeCell ref="A1:F1"/>
    <mergeCell ref="A2:F2"/>
    <mergeCell ref="A3:F3"/>
    <mergeCell ref="A4:F4"/>
    <mergeCell ref="A5:F5"/>
  </mergeCells>
  <hyperlinks>
    <hyperlink ref="A4" r:id="rId1" location="'Q&amp;A%20Chapter%207'!A1" xr:uid="{00000000-0004-0000-0000-000000000000}"/>
    <hyperlink ref="B7" r:id="rId2" location="'P1%20Prob%20Above'!A1" xr:uid="{00000000-0004-0000-0000-000001000000}"/>
    <hyperlink ref="B8" r:id="rId3" location="'P2%20Percentile'!A1" xr:uid="{00000000-0004-0000-0000-000002000000}"/>
    <hyperlink ref="B9" r:id="rId4" location="'P3%20Prob%20Below'!A1" xr:uid="{00000000-0004-0000-0000-000003000000}"/>
    <hyperlink ref="B10" r:id="rId5" location="'P4%20ITC%20Data'!A1" xr:uid="{00000000-0004-0000-0000-000004000000}"/>
    <hyperlink ref="B11" r:id="rId6" location="'P5%20Forward'!A1" xr:uid="{00000000-0004-0000-0000-000005000000}"/>
    <hyperlink ref="B12" r:id="rId7" location="'P6%20Binary%20Two%20Worlds'!A1" xr:uid="{00000000-0004-0000-0000-000006000000}"/>
    <hyperlink ref="B13" r:id="rId8" location="'P7%20Binary%207.12'!A1" xr:uid="{00000000-0004-0000-0000-000007000000}"/>
    <hyperlink ref="B14" r:id="rId9" location="'P8%20Binary%207.6'!A1" xr:uid="{00000000-0004-0000-0000-000008000000}"/>
    <hyperlink ref="B15" r:id="rId10" location="'P9%20State%20Prices'!A1" xr:uid="{00000000-0004-0000-0000-000009000000}"/>
    <hyperlink ref="B16" r:id="rId11" location="'P10%20VaR%20Shares'!A1" xr:uid="{00000000-0004-0000-0000-00000A000000}"/>
    <hyperlink ref="B17" r:id="rId12" location="'P11%20Worst%20Case'!A1" xr:uid="{00000000-0004-0000-0000-00000B000000}"/>
    <hyperlink ref="B18" r:id="rId13" location="'P12%20PNB%20SBI'!A1" xr:uid="{00000000-0004-0000-0000-00000C000000}"/>
    <hyperlink ref="B19" r:id="rId14" location="'P13%20Both%20Worlds'!A1" xr:uid="{00000000-0004-0000-0000-00000D000000}"/>
    <hyperlink ref="B20" r:id="rId15" location="'P14%20Monte%20Carlo'!A1" xr:uid="{00000000-0004-0000-0000-00000E000000}"/>
    <hyperlink ref="B21" r:id="rId16" location="'P15%20CAPM%20Lambda'!A1" xr:uid="{00000000-0004-0000-0000-00000F000000}"/>
  </hyperlink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9A24D"/>
    <pageSetUpPr fitToPage="1"/>
  </sheetPr>
  <dimension ref="A1:F96"/>
  <sheetViews>
    <sheetView showGridLines="0" tabSelected="1" zoomScaleNormal="100" workbookViewId="0">
      <pane ySplit="4" topLeftCell="A31" activePane="bottomLeft" state="frozen"/>
      <selection pane="bottomLeft" activeCell="E35" sqref="E35"/>
    </sheetView>
  </sheetViews>
  <sheetFormatPr baseColWidth="10" defaultColWidth="8.6640625" defaultRowHeight="15" x14ac:dyDescent="0.2"/>
  <cols>
    <col min="1" max="1" width="7" customWidth="1"/>
    <col min="2" max="2" width="11" customWidth="1"/>
    <col min="3" max="3" width="13" customWidth="1"/>
    <col min="4" max="4" width="62" customWidth="1"/>
    <col min="5" max="5" width="84" customWidth="1"/>
    <col min="6" max="6" width="20" customWidth="1"/>
  </cols>
  <sheetData>
    <row r="1" spans="1:6" ht="31.5" customHeight="1" x14ac:dyDescent="0.2">
      <c r="A1" s="12" t="s">
        <v>70</v>
      </c>
      <c r="B1" s="12"/>
      <c r="C1" s="12"/>
      <c r="D1" s="12"/>
      <c r="E1" s="12"/>
      <c r="F1" s="12"/>
    </row>
    <row r="2" spans="1:6" ht="39.75" customHeight="1" x14ac:dyDescent="0.2">
      <c r="A2" s="5" t="s">
        <v>71</v>
      </c>
      <c r="B2" s="5"/>
      <c r="C2" s="5"/>
      <c r="D2" s="5"/>
      <c r="E2" s="5"/>
      <c r="F2" s="5"/>
    </row>
    <row r="3" spans="1:6" ht="16" x14ac:dyDescent="0.2">
      <c r="A3" s="10" t="s">
        <v>72</v>
      </c>
      <c r="B3" s="10"/>
      <c r="C3" s="10"/>
      <c r="D3" s="10"/>
      <c r="E3" s="10"/>
      <c r="F3" s="10"/>
    </row>
    <row r="5" spans="1:6" ht="24" customHeight="1" x14ac:dyDescent="0.2">
      <c r="A5" s="8" t="s">
        <v>73</v>
      </c>
      <c r="B5" s="8"/>
      <c r="C5" s="8"/>
      <c r="D5" s="8"/>
      <c r="E5" s="8"/>
      <c r="F5" s="8"/>
    </row>
    <row r="6" spans="1:6" ht="19" x14ac:dyDescent="0.2">
      <c r="A6" s="30" t="s">
        <v>5</v>
      </c>
      <c r="B6" s="30" t="s">
        <v>74</v>
      </c>
      <c r="C6" s="30" t="s">
        <v>75</v>
      </c>
      <c r="D6" s="30" t="s">
        <v>76</v>
      </c>
      <c r="E6" s="30" t="s">
        <v>77</v>
      </c>
      <c r="F6" s="30" t="s">
        <v>78</v>
      </c>
    </row>
    <row r="7" spans="1:6" ht="88.5" customHeight="1" x14ac:dyDescent="0.2">
      <c r="A7" s="31">
        <v>1</v>
      </c>
      <c r="B7" s="31" t="s">
        <v>79</v>
      </c>
      <c r="C7" s="32" t="s">
        <v>80</v>
      </c>
      <c r="D7" s="33" t="s">
        <v>81</v>
      </c>
      <c r="E7" s="34" t="s">
        <v>82</v>
      </c>
      <c r="F7" s="31" t="s">
        <v>23</v>
      </c>
    </row>
    <row r="8" spans="1:6" ht="72" customHeight="1" x14ac:dyDescent="0.2">
      <c r="A8" s="31">
        <v>2</v>
      </c>
      <c r="B8" s="31" t="s">
        <v>79</v>
      </c>
      <c r="C8" s="32" t="s">
        <v>80</v>
      </c>
      <c r="D8" s="33" t="s">
        <v>83</v>
      </c>
      <c r="E8" s="34" t="s">
        <v>84</v>
      </c>
      <c r="F8" s="31" t="s">
        <v>23</v>
      </c>
    </row>
    <row r="9" spans="1:6" ht="55.5" customHeight="1" x14ac:dyDescent="0.2">
      <c r="A9" s="31">
        <v>3</v>
      </c>
      <c r="B9" s="31" t="s">
        <v>79</v>
      </c>
      <c r="C9" s="35" t="s">
        <v>85</v>
      </c>
      <c r="D9" s="33" t="s">
        <v>86</v>
      </c>
      <c r="E9" s="34" t="s">
        <v>87</v>
      </c>
      <c r="F9" s="31" t="s">
        <v>23</v>
      </c>
    </row>
    <row r="10" spans="1:6" ht="72" customHeight="1" x14ac:dyDescent="0.2">
      <c r="A10" s="31">
        <v>4</v>
      </c>
      <c r="B10" s="31" t="s">
        <v>79</v>
      </c>
      <c r="C10" s="32" t="s">
        <v>80</v>
      </c>
      <c r="D10" s="33" t="s">
        <v>88</v>
      </c>
      <c r="E10" s="34" t="s">
        <v>89</v>
      </c>
      <c r="F10" s="31" t="s">
        <v>23</v>
      </c>
    </row>
    <row r="11" spans="1:6" ht="39" customHeight="1" x14ac:dyDescent="0.2">
      <c r="A11" s="31">
        <v>5</v>
      </c>
      <c r="B11" s="31" t="s">
        <v>79</v>
      </c>
      <c r="C11" s="32" t="s">
        <v>80</v>
      </c>
      <c r="D11" s="33" t="s">
        <v>90</v>
      </c>
      <c r="E11" s="34" t="s">
        <v>91</v>
      </c>
      <c r="F11" s="31" t="s">
        <v>23</v>
      </c>
    </row>
    <row r="13" spans="1:6" ht="24" customHeight="1" x14ac:dyDescent="0.2">
      <c r="A13" s="8" t="s">
        <v>92</v>
      </c>
      <c r="B13" s="8"/>
      <c r="C13" s="8"/>
      <c r="D13" s="8"/>
      <c r="E13" s="8"/>
      <c r="F13" s="8"/>
    </row>
    <row r="14" spans="1:6" ht="19" x14ac:dyDescent="0.2">
      <c r="A14" s="30" t="s">
        <v>5</v>
      </c>
      <c r="B14" s="30" t="s">
        <v>74</v>
      </c>
      <c r="C14" s="30" t="s">
        <v>75</v>
      </c>
      <c r="D14" s="30" t="s">
        <v>76</v>
      </c>
      <c r="E14" s="30" t="s">
        <v>77</v>
      </c>
      <c r="F14" s="30" t="s">
        <v>78</v>
      </c>
    </row>
    <row r="15" spans="1:6" ht="55.5" customHeight="1" x14ac:dyDescent="0.2">
      <c r="A15" s="31">
        <v>6</v>
      </c>
      <c r="B15" s="31" t="s">
        <v>93</v>
      </c>
      <c r="C15" s="32" t="s">
        <v>80</v>
      </c>
      <c r="D15" s="33" t="s">
        <v>94</v>
      </c>
      <c r="E15" s="34" t="s">
        <v>95</v>
      </c>
      <c r="F15" s="31" t="s">
        <v>23</v>
      </c>
    </row>
    <row r="16" spans="1:6" ht="55.5" customHeight="1" x14ac:dyDescent="0.2">
      <c r="A16" s="31">
        <v>7</v>
      </c>
      <c r="B16" s="31" t="s">
        <v>93</v>
      </c>
      <c r="C16" s="32" t="s">
        <v>80</v>
      </c>
      <c r="D16" s="33" t="s">
        <v>96</v>
      </c>
      <c r="E16" s="34" t="s">
        <v>97</v>
      </c>
      <c r="F16" s="31" t="s">
        <v>23</v>
      </c>
    </row>
    <row r="17" spans="1:6" ht="22.5" customHeight="1" x14ac:dyDescent="0.2">
      <c r="A17" s="31">
        <v>8</v>
      </c>
      <c r="B17" s="31" t="s">
        <v>93</v>
      </c>
      <c r="C17" s="32" t="s">
        <v>80</v>
      </c>
      <c r="D17" s="33" t="s">
        <v>98</v>
      </c>
      <c r="E17" s="34" t="s">
        <v>99</v>
      </c>
      <c r="F17" s="31" t="s">
        <v>23</v>
      </c>
    </row>
    <row r="18" spans="1:6" ht="55.5" customHeight="1" x14ac:dyDescent="0.2">
      <c r="A18" s="31">
        <v>9</v>
      </c>
      <c r="B18" s="31" t="s">
        <v>93</v>
      </c>
      <c r="C18" s="32" t="s">
        <v>80</v>
      </c>
      <c r="D18" s="33" t="s">
        <v>100</v>
      </c>
      <c r="E18" s="34" t="s">
        <v>101</v>
      </c>
      <c r="F18" s="31" t="s">
        <v>23</v>
      </c>
    </row>
    <row r="19" spans="1:6" ht="39" customHeight="1" x14ac:dyDescent="0.2">
      <c r="A19" s="31">
        <v>10</v>
      </c>
      <c r="B19" s="31" t="s">
        <v>93</v>
      </c>
      <c r="C19" s="35" t="s">
        <v>85</v>
      </c>
      <c r="D19" s="33" t="s">
        <v>102</v>
      </c>
      <c r="E19" s="34" t="s">
        <v>103</v>
      </c>
      <c r="F19" s="31" t="s">
        <v>23</v>
      </c>
    </row>
    <row r="20" spans="1:6" ht="88.5" customHeight="1" x14ac:dyDescent="0.2">
      <c r="A20" s="31">
        <v>11</v>
      </c>
      <c r="B20" s="31" t="s">
        <v>93</v>
      </c>
      <c r="C20" s="32" t="s">
        <v>80</v>
      </c>
      <c r="D20" s="33" t="s">
        <v>104</v>
      </c>
      <c r="E20" s="34" t="s">
        <v>105</v>
      </c>
      <c r="F20" s="36" t="s">
        <v>11</v>
      </c>
    </row>
    <row r="21" spans="1:6" ht="55.5" customHeight="1" x14ac:dyDescent="0.2">
      <c r="A21" s="31">
        <v>12</v>
      </c>
      <c r="B21" s="31" t="s">
        <v>93</v>
      </c>
      <c r="C21" s="35" t="s">
        <v>85</v>
      </c>
      <c r="D21" s="33" t="s">
        <v>106</v>
      </c>
      <c r="E21" s="34" t="s">
        <v>107</v>
      </c>
      <c r="F21" s="36" t="s">
        <v>11</v>
      </c>
    </row>
    <row r="22" spans="1:6" ht="39" customHeight="1" x14ac:dyDescent="0.2">
      <c r="A22" s="31">
        <v>13</v>
      </c>
      <c r="B22" s="31" t="s">
        <v>93</v>
      </c>
      <c r="C22" s="35" t="s">
        <v>85</v>
      </c>
      <c r="D22" s="33" t="s">
        <v>108</v>
      </c>
      <c r="E22" s="34" t="s">
        <v>109</v>
      </c>
      <c r="F22" s="36" t="s">
        <v>14</v>
      </c>
    </row>
    <row r="23" spans="1:6" ht="39" customHeight="1" x14ac:dyDescent="0.2">
      <c r="A23" s="31">
        <v>14</v>
      </c>
      <c r="B23" s="31" t="s">
        <v>93</v>
      </c>
      <c r="C23" s="35" t="s">
        <v>85</v>
      </c>
      <c r="D23" s="33" t="s">
        <v>110</v>
      </c>
      <c r="E23" s="34" t="s">
        <v>111</v>
      </c>
      <c r="F23" s="36" t="s">
        <v>17</v>
      </c>
    </row>
    <row r="24" spans="1:6" ht="39" customHeight="1" x14ac:dyDescent="0.2">
      <c r="A24" s="31">
        <v>15</v>
      </c>
      <c r="B24" s="31" t="s">
        <v>93</v>
      </c>
      <c r="C24" s="37" t="s">
        <v>112</v>
      </c>
      <c r="D24" s="33" t="s">
        <v>113</v>
      </c>
      <c r="E24" s="34" t="s">
        <v>114</v>
      </c>
      <c r="F24" s="31" t="s">
        <v>23</v>
      </c>
    </row>
    <row r="25" spans="1:6" ht="39" customHeight="1" x14ac:dyDescent="0.2">
      <c r="A25" s="31">
        <v>16</v>
      </c>
      <c r="B25" s="31" t="s">
        <v>93</v>
      </c>
      <c r="C25" s="37" t="s">
        <v>112</v>
      </c>
      <c r="D25" s="33" t="s">
        <v>115</v>
      </c>
      <c r="E25" s="34" t="s">
        <v>116</v>
      </c>
      <c r="F25" s="36" t="s">
        <v>20</v>
      </c>
    </row>
    <row r="26" spans="1:6" ht="55.5" customHeight="1" x14ac:dyDescent="0.2">
      <c r="A26" s="31">
        <v>17</v>
      </c>
      <c r="B26" s="31" t="s">
        <v>93</v>
      </c>
      <c r="C26" s="38" t="s">
        <v>117</v>
      </c>
      <c r="D26" s="33" t="s">
        <v>118</v>
      </c>
      <c r="E26" s="34" t="s">
        <v>119</v>
      </c>
      <c r="F26" s="36" t="s">
        <v>20</v>
      </c>
    </row>
    <row r="28" spans="1:6" ht="24" customHeight="1" x14ac:dyDescent="0.2">
      <c r="A28" s="8" t="s">
        <v>120</v>
      </c>
      <c r="B28" s="8"/>
      <c r="C28" s="8"/>
      <c r="D28" s="8"/>
      <c r="E28" s="8"/>
      <c r="F28" s="8"/>
    </row>
    <row r="29" spans="1:6" ht="19" x14ac:dyDescent="0.2">
      <c r="A29" s="30" t="s">
        <v>5</v>
      </c>
      <c r="B29" s="30" t="s">
        <v>74</v>
      </c>
      <c r="C29" s="30" t="s">
        <v>75</v>
      </c>
      <c r="D29" s="30" t="s">
        <v>76</v>
      </c>
      <c r="E29" s="30" t="s">
        <v>77</v>
      </c>
      <c r="F29" s="30" t="s">
        <v>78</v>
      </c>
    </row>
    <row r="30" spans="1:6" ht="72" customHeight="1" x14ac:dyDescent="0.2">
      <c r="A30" s="31">
        <v>18</v>
      </c>
      <c r="B30" s="31" t="s">
        <v>121</v>
      </c>
      <c r="C30" s="32" t="s">
        <v>80</v>
      </c>
      <c r="D30" s="33" t="s">
        <v>122</v>
      </c>
      <c r="E30" s="34" t="s">
        <v>123</v>
      </c>
      <c r="F30" s="31" t="s">
        <v>23</v>
      </c>
    </row>
    <row r="31" spans="1:6" ht="55.5" customHeight="1" x14ac:dyDescent="0.2">
      <c r="A31" s="31">
        <v>19</v>
      </c>
      <c r="B31" s="31" t="s">
        <v>121</v>
      </c>
      <c r="C31" s="32" t="s">
        <v>80</v>
      </c>
      <c r="D31" s="33" t="s">
        <v>124</v>
      </c>
      <c r="E31" s="34" t="s">
        <v>125</v>
      </c>
      <c r="F31" s="31" t="s">
        <v>23</v>
      </c>
    </row>
    <row r="32" spans="1:6" ht="72" customHeight="1" x14ac:dyDescent="0.2">
      <c r="A32" s="31">
        <v>20</v>
      </c>
      <c r="B32" s="31" t="s">
        <v>121</v>
      </c>
      <c r="C32" s="32" t="s">
        <v>80</v>
      </c>
      <c r="D32" s="33" t="s">
        <v>126</v>
      </c>
      <c r="E32" s="34" t="s">
        <v>127</v>
      </c>
      <c r="F32" s="31" t="s">
        <v>23</v>
      </c>
    </row>
    <row r="33" spans="1:6" ht="72" customHeight="1" x14ac:dyDescent="0.2">
      <c r="A33" s="31">
        <v>21</v>
      </c>
      <c r="B33" s="31" t="s">
        <v>121</v>
      </c>
      <c r="C33" s="32" t="s">
        <v>80</v>
      </c>
      <c r="D33" s="33" t="s">
        <v>128</v>
      </c>
      <c r="E33" s="34" t="s">
        <v>129</v>
      </c>
      <c r="F33" s="31" t="s">
        <v>23</v>
      </c>
    </row>
    <row r="34" spans="1:6" ht="55.5" customHeight="1" x14ac:dyDescent="0.2">
      <c r="A34" s="31">
        <v>22</v>
      </c>
      <c r="B34" s="31" t="s">
        <v>121</v>
      </c>
      <c r="C34" s="32" t="s">
        <v>80</v>
      </c>
      <c r="D34" s="33" t="s">
        <v>130</v>
      </c>
      <c r="E34" s="34" t="s">
        <v>131</v>
      </c>
      <c r="F34" s="31" t="s">
        <v>23</v>
      </c>
    </row>
    <row r="35" spans="1:6" ht="55.5" customHeight="1" x14ac:dyDescent="0.2">
      <c r="A35" s="31">
        <v>23</v>
      </c>
      <c r="B35" s="31" t="s">
        <v>121</v>
      </c>
      <c r="C35" s="32" t="s">
        <v>80</v>
      </c>
      <c r="D35" s="33" t="s">
        <v>132</v>
      </c>
      <c r="E35" s="34" t="s">
        <v>133</v>
      </c>
      <c r="F35" s="36" t="s">
        <v>27</v>
      </c>
    </row>
    <row r="36" spans="1:6" ht="55.5" customHeight="1" x14ac:dyDescent="0.2">
      <c r="A36" s="31">
        <v>24</v>
      </c>
      <c r="B36" s="31" t="s">
        <v>121</v>
      </c>
      <c r="C36" s="32" t="s">
        <v>80</v>
      </c>
      <c r="D36" s="33" t="s">
        <v>134</v>
      </c>
      <c r="E36" s="34" t="s">
        <v>135</v>
      </c>
      <c r="F36" s="31" t="s">
        <v>23</v>
      </c>
    </row>
    <row r="37" spans="1:6" ht="55.5" customHeight="1" x14ac:dyDescent="0.2">
      <c r="A37" s="31">
        <v>25</v>
      </c>
      <c r="B37" s="31" t="s">
        <v>121</v>
      </c>
      <c r="C37" s="35" t="s">
        <v>85</v>
      </c>
      <c r="D37" s="33" t="s">
        <v>136</v>
      </c>
      <c r="E37" s="34" t="s">
        <v>137</v>
      </c>
      <c r="F37" s="36" t="s">
        <v>24</v>
      </c>
    </row>
    <row r="38" spans="1:6" ht="39" customHeight="1" x14ac:dyDescent="0.2">
      <c r="A38" s="31">
        <v>26</v>
      </c>
      <c r="B38" s="31" t="s">
        <v>121</v>
      </c>
      <c r="C38" s="35" t="s">
        <v>85</v>
      </c>
      <c r="D38" s="33" t="s">
        <v>138</v>
      </c>
      <c r="E38" s="34" t="s">
        <v>139</v>
      </c>
      <c r="F38" s="36" t="s">
        <v>24</v>
      </c>
    </row>
    <row r="39" spans="1:6" ht="39" customHeight="1" x14ac:dyDescent="0.2">
      <c r="A39" s="31">
        <v>27</v>
      </c>
      <c r="B39" s="31" t="s">
        <v>121</v>
      </c>
      <c r="C39" s="32" t="s">
        <v>80</v>
      </c>
      <c r="D39" s="33" t="s">
        <v>140</v>
      </c>
      <c r="E39" s="34" t="s">
        <v>141</v>
      </c>
      <c r="F39" s="36" t="s">
        <v>27</v>
      </c>
    </row>
    <row r="40" spans="1:6" ht="72" customHeight="1" x14ac:dyDescent="0.2">
      <c r="A40" s="31">
        <v>28</v>
      </c>
      <c r="B40" s="31" t="s">
        <v>121</v>
      </c>
      <c r="C40" s="35" t="s">
        <v>85</v>
      </c>
      <c r="D40" s="33" t="s">
        <v>142</v>
      </c>
      <c r="E40" s="34" t="s">
        <v>143</v>
      </c>
      <c r="F40" s="36" t="s">
        <v>27</v>
      </c>
    </row>
    <row r="41" spans="1:6" ht="55.5" customHeight="1" x14ac:dyDescent="0.2">
      <c r="A41" s="31">
        <v>29</v>
      </c>
      <c r="B41" s="31" t="s">
        <v>121</v>
      </c>
      <c r="C41" s="35" t="s">
        <v>85</v>
      </c>
      <c r="D41" s="33" t="s">
        <v>144</v>
      </c>
      <c r="E41" s="34" t="s">
        <v>145</v>
      </c>
      <c r="F41" s="36" t="s">
        <v>33</v>
      </c>
    </row>
    <row r="42" spans="1:6" ht="55.5" customHeight="1" x14ac:dyDescent="0.2">
      <c r="A42" s="31">
        <v>30</v>
      </c>
      <c r="B42" s="31" t="s">
        <v>121</v>
      </c>
      <c r="C42" s="35" t="s">
        <v>85</v>
      </c>
      <c r="D42" s="33" t="s">
        <v>146</v>
      </c>
      <c r="E42" s="34" t="s">
        <v>147</v>
      </c>
      <c r="F42" s="36" t="s">
        <v>30</v>
      </c>
    </row>
    <row r="43" spans="1:6" ht="55.5" customHeight="1" x14ac:dyDescent="0.2">
      <c r="A43" s="31">
        <v>31</v>
      </c>
      <c r="B43" s="31" t="s">
        <v>121</v>
      </c>
      <c r="C43" s="32" t="s">
        <v>80</v>
      </c>
      <c r="D43" s="33" t="s">
        <v>148</v>
      </c>
      <c r="E43" s="34" t="s">
        <v>149</v>
      </c>
      <c r="F43" s="36" t="s">
        <v>27</v>
      </c>
    </row>
    <row r="44" spans="1:6" ht="55.5" customHeight="1" x14ac:dyDescent="0.2">
      <c r="A44" s="31">
        <v>32</v>
      </c>
      <c r="B44" s="31" t="s">
        <v>121</v>
      </c>
      <c r="C44" s="32" t="s">
        <v>80</v>
      </c>
      <c r="D44" s="33" t="s">
        <v>150</v>
      </c>
      <c r="E44" s="34" t="s">
        <v>151</v>
      </c>
      <c r="F44" s="31" t="s">
        <v>23</v>
      </c>
    </row>
    <row r="45" spans="1:6" ht="72" customHeight="1" x14ac:dyDescent="0.2">
      <c r="A45" s="31">
        <v>33</v>
      </c>
      <c r="B45" s="31" t="s">
        <v>121</v>
      </c>
      <c r="C45" s="32" t="s">
        <v>80</v>
      </c>
      <c r="D45" s="33" t="s">
        <v>152</v>
      </c>
      <c r="E45" s="34" t="s">
        <v>153</v>
      </c>
      <c r="F45" s="36" t="s">
        <v>36</v>
      </c>
    </row>
    <row r="46" spans="1:6" ht="72" customHeight="1" x14ac:dyDescent="0.2">
      <c r="A46" s="31">
        <v>34</v>
      </c>
      <c r="B46" s="31" t="s">
        <v>121</v>
      </c>
      <c r="C46" s="35" t="s">
        <v>85</v>
      </c>
      <c r="D46" s="33" t="s">
        <v>154</v>
      </c>
      <c r="E46" s="34" t="s">
        <v>155</v>
      </c>
      <c r="F46" s="36" t="s">
        <v>36</v>
      </c>
    </row>
    <row r="47" spans="1:6" ht="72" customHeight="1" x14ac:dyDescent="0.2">
      <c r="A47" s="31">
        <v>35</v>
      </c>
      <c r="B47" s="31" t="s">
        <v>121</v>
      </c>
      <c r="C47" s="32" t="s">
        <v>80</v>
      </c>
      <c r="D47" s="33" t="s">
        <v>156</v>
      </c>
      <c r="E47" s="34" t="s">
        <v>157</v>
      </c>
      <c r="F47" s="31" t="s">
        <v>23</v>
      </c>
    </row>
    <row r="48" spans="1:6" ht="55.5" customHeight="1" x14ac:dyDescent="0.2">
      <c r="A48" s="31">
        <v>36</v>
      </c>
      <c r="B48" s="31" t="s">
        <v>121</v>
      </c>
      <c r="C48" s="38" t="s">
        <v>117</v>
      </c>
      <c r="D48" s="33" t="s">
        <v>158</v>
      </c>
      <c r="E48" s="34" t="s">
        <v>159</v>
      </c>
      <c r="F48" s="31" t="s">
        <v>23</v>
      </c>
    </row>
    <row r="50" spans="1:6" ht="24" customHeight="1" x14ac:dyDescent="0.2">
      <c r="A50" s="8" t="s">
        <v>160</v>
      </c>
      <c r="B50" s="8"/>
      <c r="C50" s="8"/>
      <c r="D50" s="8"/>
      <c r="E50" s="8"/>
      <c r="F50" s="8"/>
    </row>
    <row r="51" spans="1:6" ht="19" x14ac:dyDescent="0.2">
      <c r="A51" s="30" t="s">
        <v>5</v>
      </c>
      <c r="B51" s="30" t="s">
        <v>74</v>
      </c>
      <c r="C51" s="30" t="s">
        <v>75</v>
      </c>
      <c r="D51" s="30" t="s">
        <v>76</v>
      </c>
      <c r="E51" s="30" t="s">
        <v>77</v>
      </c>
      <c r="F51" s="30" t="s">
        <v>78</v>
      </c>
    </row>
    <row r="52" spans="1:6" ht="72" customHeight="1" x14ac:dyDescent="0.2">
      <c r="A52" s="31">
        <v>37</v>
      </c>
      <c r="B52" s="31" t="s">
        <v>161</v>
      </c>
      <c r="C52" s="32" t="s">
        <v>80</v>
      </c>
      <c r="D52" s="33" t="s">
        <v>162</v>
      </c>
      <c r="E52" s="34" t="s">
        <v>163</v>
      </c>
      <c r="F52" s="31" t="s">
        <v>23</v>
      </c>
    </row>
    <row r="53" spans="1:6" ht="39" customHeight="1" x14ac:dyDescent="0.2">
      <c r="A53" s="31">
        <v>38</v>
      </c>
      <c r="B53" s="31" t="s">
        <v>161</v>
      </c>
      <c r="C53" s="32" t="s">
        <v>80</v>
      </c>
      <c r="D53" s="33" t="s">
        <v>164</v>
      </c>
      <c r="E53" s="34" t="s">
        <v>165</v>
      </c>
      <c r="F53" s="31" t="s">
        <v>23</v>
      </c>
    </row>
    <row r="54" spans="1:6" ht="55.5" customHeight="1" x14ac:dyDescent="0.2">
      <c r="A54" s="31">
        <v>39</v>
      </c>
      <c r="B54" s="31" t="s">
        <v>161</v>
      </c>
      <c r="C54" s="35" t="s">
        <v>85</v>
      </c>
      <c r="D54" s="33" t="s">
        <v>166</v>
      </c>
      <c r="E54" s="34" t="s">
        <v>167</v>
      </c>
      <c r="F54" s="36" t="s">
        <v>39</v>
      </c>
    </row>
    <row r="55" spans="1:6" ht="55.5" customHeight="1" x14ac:dyDescent="0.2">
      <c r="A55" s="31">
        <v>40</v>
      </c>
      <c r="B55" s="31" t="s">
        <v>161</v>
      </c>
      <c r="C55" s="35" t="s">
        <v>85</v>
      </c>
      <c r="D55" s="33" t="s">
        <v>168</v>
      </c>
      <c r="E55" s="34" t="s">
        <v>169</v>
      </c>
      <c r="F55" s="36" t="s">
        <v>42</v>
      </c>
    </row>
    <row r="56" spans="1:6" ht="55.5" customHeight="1" x14ac:dyDescent="0.2">
      <c r="A56" s="31">
        <v>41</v>
      </c>
      <c r="B56" s="31" t="s">
        <v>161</v>
      </c>
      <c r="C56" s="32" t="s">
        <v>80</v>
      </c>
      <c r="D56" s="33" t="s">
        <v>170</v>
      </c>
      <c r="E56" s="34" t="s">
        <v>171</v>
      </c>
      <c r="F56" s="31" t="s">
        <v>23</v>
      </c>
    </row>
    <row r="57" spans="1:6" ht="55.5" customHeight="1" x14ac:dyDescent="0.2">
      <c r="A57" s="31">
        <v>42</v>
      </c>
      <c r="B57" s="31" t="s">
        <v>161</v>
      </c>
      <c r="C57" s="38" t="s">
        <v>117</v>
      </c>
      <c r="D57" s="33" t="s">
        <v>172</v>
      </c>
      <c r="E57" s="34" t="s">
        <v>173</v>
      </c>
      <c r="F57" s="36" t="s">
        <v>45</v>
      </c>
    </row>
    <row r="58" spans="1:6" ht="55.5" customHeight="1" x14ac:dyDescent="0.2">
      <c r="A58" s="31">
        <v>43</v>
      </c>
      <c r="B58" s="31" t="s">
        <v>161</v>
      </c>
      <c r="C58" s="32" t="s">
        <v>80</v>
      </c>
      <c r="D58" s="33" t="s">
        <v>174</v>
      </c>
      <c r="E58" s="34" t="s">
        <v>175</v>
      </c>
      <c r="F58" s="36" t="s">
        <v>45</v>
      </c>
    </row>
    <row r="60" spans="1:6" ht="24" customHeight="1" x14ac:dyDescent="0.2">
      <c r="A60" s="8" t="s">
        <v>176</v>
      </c>
      <c r="B60" s="8"/>
      <c r="C60" s="8"/>
      <c r="D60" s="8"/>
      <c r="E60" s="8"/>
      <c r="F60" s="8"/>
    </row>
    <row r="61" spans="1:6" ht="19" x14ac:dyDescent="0.2">
      <c r="A61" s="30" t="s">
        <v>5</v>
      </c>
      <c r="B61" s="30" t="s">
        <v>74</v>
      </c>
      <c r="C61" s="30" t="s">
        <v>75</v>
      </c>
      <c r="D61" s="30" t="s">
        <v>76</v>
      </c>
      <c r="E61" s="30" t="s">
        <v>77</v>
      </c>
      <c r="F61" s="30" t="s">
        <v>78</v>
      </c>
    </row>
    <row r="62" spans="1:6" ht="72" customHeight="1" x14ac:dyDescent="0.2">
      <c r="A62" s="31">
        <v>44</v>
      </c>
      <c r="B62" s="31" t="s">
        <v>177</v>
      </c>
      <c r="C62" s="32" t="s">
        <v>80</v>
      </c>
      <c r="D62" s="33" t="s">
        <v>178</v>
      </c>
      <c r="E62" s="34" t="s">
        <v>179</v>
      </c>
      <c r="F62" s="36" t="s">
        <v>48</v>
      </c>
    </row>
    <row r="63" spans="1:6" ht="55.5" customHeight="1" x14ac:dyDescent="0.2">
      <c r="A63" s="31">
        <v>45</v>
      </c>
      <c r="B63" s="31" t="s">
        <v>177</v>
      </c>
      <c r="C63" s="35" t="s">
        <v>85</v>
      </c>
      <c r="D63" s="33" t="s">
        <v>180</v>
      </c>
      <c r="E63" s="34" t="s">
        <v>181</v>
      </c>
      <c r="F63" s="36" t="s">
        <v>48</v>
      </c>
    </row>
    <row r="64" spans="1:6" ht="55.5" customHeight="1" x14ac:dyDescent="0.2">
      <c r="A64" s="31">
        <v>46</v>
      </c>
      <c r="B64" s="31" t="s">
        <v>177</v>
      </c>
      <c r="C64" s="32" t="s">
        <v>80</v>
      </c>
      <c r="D64" s="33" t="s">
        <v>182</v>
      </c>
      <c r="E64" s="34" t="s">
        <v>183</v>
      </c>
      <c r="F64" s="36" t="s">
        <v>48</v>
      </c>
    </row>
    <row r="66" spans="1:6" ht="24" customHeight="1" x14ac:dyDescent="0.2">
      <c r="A66" s="8" t="s">
        <v>184</v>
      </c>
      <c r="B66" s="8"/>
      <c r="C66" s="8"/>
      <c r="D66" s="8"/>
      <c r="E66" s="8"/>
      <c r="F66" s="8"/>
    </row>
    <row r="67" spans="1:6" ht="19" x14ac:dyDescent="0.2">
      <c r="A67" s="30" t="s">
        <v>5</v>
      </c>
      <c r="B67" s="30" t="s">
        <v>74</v>
      </c>
      <c r="C67" s="30" t="s">
        <v>75</v>
      </c>
      <c r="D67" s="30" t="s">
        <v>76</v>
      </c>
      <c r="E67" s="30" t="s">
        <v>77</v>
      </c>
      <c r="F67" s="30" t="s">
        <v>78</v>
      </c>
    </row>
    <row r="68" spans="1:6" ht="72" customHeight="1" x14ac:dyDescent="0.2">
      <c r="A68" s="31">
        <v>47</v>
      </c>
      <c r="B68" s="31" t="s">
        <v>185</v>
      </c>
      <c r="C68" s="32" t="s">
        <v>80</v>
      </c>
      <c r="D68" s="33" t="s">
        <v>186</v>
      </c>
      <c r="E68" s="34" t="s">
        <v>187</v>
      </c>
      <c r="F68" s="36" t="s">
        <v>51</v>
      </c>
    </row>
    <row r="69" spans="1:6" ht="39" customHeight="1" x14ac:dyDescent="0.2">
      <c r="A69" s="31">
        <v>48</v>
      </c>
      <c r="B69" s="31" t="s">
        <v>185</v>
      </c>
      <c r="C69" s="32" t="s">
        <v>80</v>
      </c>
      <c r="D69" s="33" t="s">
        <v>188</v>
      </c>
      <c r="E69" s="34" t="s">
        <v>189</v>
      </c>
      <c r="F69" s="36" t="s">
        <v>51</v>
      </c>
    </row>
    <row r="70" spans="1:6" ht="39" customHeight="1" x14ac:dyDescent="0.2">
      <c r="A70" s="31">
        <v>49</v>
      </c>
      <c r="B70" s="31" t="s">
        <v>185</v>
      </c>
      <c r="C70" s="35" t="s">
        <v>85</v>
      </c>
      <c r="D70" s="33" t="s">
        <v>190</v>
      </c>
      <c r="E70" s="34" t="s">
        <v>191</v>
      </c>
      <c r="F70" s="31" t="s">
        <v>23</v>
      </c>
    </row>
    <row r="71" spans="1:6" ht="55.5" customHeight="1" x14ac:dyDescent="0.2">
      <c r="A71" s="31">
        <v>50</v>
      </c>
      <c r="B71" s="31" t="s">
        <v>185</v>
      </c>
      <c r="C71" s="32" t="s">
        <v>80</v>
      </c>
      <c r="D71" s="33" t="s">
        <v>192</v>
      </c>
      <c r="E71" s="34" t="s">
        <v>193</v>
      </c>
      <c r="F71" s="31" t="s">
        <v>23</v>
      </c>
    </row>
    <row r="72" spans="1:6" ht="55.5" customHeight="1" x14ac:dyDescent="0.2">
      <c r="A72" s="31">
        <v>51</v>
      </c>
      <c r="B72" s="31" t="s">
        <v>185</v>
      </c>
      <c r="C72" s="32" t="s">
        <v>80</v>
      </c>
      <c r="D72" s="33" t="s">
        <v>194</v>
      </c>
      <c r="E72" s="34" t="s">
        <v>195</v>
      </c>
      <c r="F72" s="31" t="s">
        <v>23</v>
      </c>
    </row>
    <row r="73" spans="1:6" ht="55.5" customHeight="1" x14ac:dyDescent="0.2">
      <c r="A73" s="31">
        <v>52</v>
      </c>
      <c r="B73" s="31" t="s">
        <v>185</v>
      </c>
      <c r="C73" s="32" t="s">
        <v>80</v>
      </c>
      <c r="D73" s="33" t="s">
        <v>196</v>
      </c>
      <c r="E73" s="34" t="s">
        <v>197</v>
      </c>
      <c r="F73" s="31" t="s">
        <v>23</v>
      </c>
    </row>
    <row r="74" spans="1:6" ht="55.5" customHeight="1" x14ac:dyDescent="0.2">
      <c r="A74" s="31">
        <v>53</v>
      </c>
      <c r="B74" s="31" t="s">
        <v>185</v>
      </c>
      <c r="C74" s="37" t="s">
        <v>112</v>
      </c>
      <c r="D74" s="33" t="s">
        <v>198</v>
      </c>
      <c r="E74" s="34" t="s">
        <v>199</v>
      </c>
      <c r="F74" s="36" t="s">
        <v>51</v>
      </c>
    </row>
    <row r="76" spans="1:6" ht="24" customHeight="1" x14ac:dyDescent="0.2">
      <c r="A76" s="8" t="s">
        <v>200</v>
      </c>
      <c r="B76" s="8"/>
      <c r="C76" s="8"/>
      <c r="D76" s="8"/>
      <c r="E76" s="8"/>
      <c r="F76" s="8"/>
    </row>
    <row r="77" spans="1:6" ht="19" x14ac:dyDescent="0.2">
      <c r="A77" s="30" t="s">
        <v>5</v>
      </c>
      <c r="B77" s="30" t="s">
        <v>74</v>
      </c>
      <c r="C77" s="30" t="s">
        <v>75</v>
      </c>
      <c r="D77" s="30" t="s">
        <v>76</v>
      </c>
      <c r="E77" s="30" t="s">
        <v>77</v>
      </c>
      <c r="F77" s="30" t="s">
        <v>78</v>
      </c>
    </row>
    <row r="78" spans="1:6" ht="72" customHeight="1" x14ac:dyDescent="0.2">
      <c r="A78" s="31">
        <v>54</v>
      </c>
      <c r="B78" s="31" t="s">
        <v>201</v>
      </c>
      <c r="C78" s="32" t="s">
        <v>80</v>
      </c>
      <c r="D78" s="33" t="s">
        <v>202</v>
      </c>
      <c r="E78" s="34" t="s">
        <v>203</v>
      </c>
      <c r="F78" s="31" t="s">
        <v>23</v>
      </c>
    </row>
    <row r="79" spans="1:6" ht="39" customHeight="1" x14ac:dyDescent="0.2">
      <c r="A79" s="31">
        <v>55</v>
      </c>
      <c r="B79" s="31" t="s">
        <v>201</v>
      </c>
      <c r="C79" s="32" t="s">
        <v>80</v>
      </c>
      <c r="D79" s="33" t="s">
        <v>204</v>
      </c>
      <c r="E79" s="34" t="s">
        <v>205</v>
      </c>
      <c r="F79" s="36" t="s">
        <v>54</v>
      </c>
    </row>
    <row r="80" spans="1:6" ht="39" customHeight="1" x14ac:dyDescent="0.2">
      <c r="A80" s="31">
        <v>56</v>
      </c>
      <c r="B80" s="31" t="s">
        <v>201</v>
      </c>
      <c r="C80" s="32" t="s">
        <v>80</v>
      </c>
      <c r="D80" s="33" t="s">
        <v>206</v>
      </c>
      <c r="E80" s="34" t="s">
        <v>207</v>
      </c>
      <c r="F80" s="36" t="s">
        <v>54</v>
      </c>
    </row>
    <row r="81" spans="1:6" ht="55.5" customHeight="1" x14ac:dyDescent="0.2">
      <c r="A81" s="31">
        <v>57</v>
      </c>
      <c r="B81" s="31" t="s">
        <v>201</v>
      </c>
      <c r="C81" s="35" t="s">
        <v>85</v>
      </c>
      <c r="D81" s="33" t="s">
        <v>208</v>
      </c>
      <c r="E81" s="34" t="s">
        <v>209</v>
      </c>
      <c r="F81" s="36" t="s">
        <v>54</v>
      </c>
    </row>
    <row r="82" spans="1:6" ht="39" customHeight="1" x14ac:dyDescent="0.2">
      <c r="A82" s="31">
        <v>58</v>
      </c>
      <c r="B82" s="31" t="s">
        <v>201</v>
      </c>
      <c r="C82" s="32" t="s">
        <v>80</v>
      </c>
      <c r="D82" s="33" t="s">
        <v>210</v>
      </c>
      <c r="E82" s="34" t="s">
        <v>211</v>
      </c>
      <c r="F82" s="31" t="s">
        <v>23</v>
      </c>
    </row>
    <row r="83" spans="1:6" ht="39" customHeight="1" x14ac:dyDescent="0.2">
      <c r="A83" s="31">
        <v>59</v>
      </c>
      <c r="B83" s="31" t="s">
        <v>201</v>
      </c>
      <c r="C83" s="32" t="s">
        <v>80</v>
      </c>
      <c r="D83" s="33" t="s">
        <v>212</v>
      </c>
      <c r="E83" s="34" t="s">
        <v>213</v>
      </c>
      <c r="F83" s="31" t="s">
        <v>23</v>
      </c>
    </row>
    <row r="85" spans="1:6" ht="24" customHeight="1" x14ac:dyDescent="0.2">
      <c r="A85" s="8" t="s">
        <v>214</v>
      </c>
      <c r="B85" s="8"/>
      <c r="C85" s="8"/>
      <c r="D85" s="8"/>
      <c r="E85" s="8"/>
      <c r="F85" s="8"/>
    </row>
    <row r="86" spans="1:6" ht="19" x14ac:dyDescent="0.2">
      <c r="A86" s="30" t="s">
        <v>5</v>
      </c>
      <c r="B86" s="30" t="s">
        <v>74</v>
      </c>
      <c r="C86" s="30" t="s">
        <v>75</v>
      </c>
      <c r="D86" s="30" t="s">
        <v>76</v>
      </c>
      <c r="E86" s="30" t="s">
        <v>77</v>
      </c>
      <c r="F86" s="30" t="s">
        <v>78</v>
      </c>
    </row>
    <row r="87" spans="1:6" ht="72" customHeight="1" x14ac:dyDescent="0.2">
      <c r="A87" s="31">
        <v>60</v>
      </c>
      <c r="B87" s="31" t="s">
        <v>215</v>
      </c>
      <c r="C87" s="32" t="s">
        <v>80</v>
      </c>
      <c r="D87" s="33" t="s">
        <v>216</v>
      </c>
      <c r="E87" s="34" t="s">
        <v>217</v>
      </c>
      <c r="F87" s="31" t="s">
        <v>23</v>
      </c>
    </row>
    <row r="88" spans="1:6" ht="39" customHeight="1" x14ac:dyDescent="0.2">
      <c r="A88" s="31">
        <v>61</v>
      </c>
      <c r="B88" s="31" t="s">
        <v>218</v>
      </c>
      <c r="C88" s="39" t="s">
        <v>219</v>
      </c>
      <c r="D88" s="33" t="s">
        <v>220</v>
      </c>
      <c r="E88" s="34" t="s">
        <v>221</v>
      </c>
      <c r="F88" s="31" t="s">
        <v>23</v>
      </c>
    </row>
    <row r="89" spans="1:6" ht="39" customHeight="1" x14ac:dyDescent="0.2">
      <c r="A89" s="31">
        <v>62</v>
      </c>
      <c r="B89" s="31" t="s">
        <v>218</v>
      </c>
      <c r="C89" s="39" t="s">
        <v>219</v>
      </c>
      <c r="D89" s="33" t="s">
        <v>222</v>
      </c>
      <c r="E89" s="34" t="s">
        <v>223</v>
      </c>
      <c r="F89" s="31" t="s">
        <v>23</v>
      </c>
    </row>
    <row r="90" spans="1:6" ht="39" customHeight="1" x14ac:dyDescent="0.2">
      <c r="A90" s="31">
        <v>63</v>
      </c>
      <c r="B90" s="31" t="s">
        <v>218</v>
      </c>
      <c r="C90" s="39" t="s">
        <v>219</v>
      </c>
      <c r="D90" s="33" t="s">
        <v>224</v>
      </c>
      <c r="E90" s="34" t="s">
        <v>225</v>
      </c>
      <c r="F90" s="31" t="s">
        <v>23</v>
      </c>
    </row>
    <row r="91" spans="1:6" ht="39" customHeight="1" x14ac:dyDescent="0.2">
      <c r="A91" s="31">
        <v>64</v>
      </c>
      <c r="B91" s="31" t="s">
        <v>218</v>
      </c>
      <c r="C91" s="39" t="s">
        <v>219</v>
      </c>
      <c r="D91" s="33" t="s">
        <v>226</v>
      </c>
      <c r="E91" s="34" t="s">
        <v>227</v>
      </c>
      <c r="F91" s="31" t="s">
        <v>23</v>
      </c>
    </row>
    <row r="92" spans="1:6" ht="39" customHeight="1" x14ac:dyDescent="0.2">
      <c r="A92" s="31">
        <v>65</v>
      </c>
      <c r="B92" s="31" t="s">
        <v>218</v>
      </c>
      <c r="C92" s="39" t="s">
        <v>219</v>
      </c>
      <c r="D92" s="33" t="s">
        <v>228</v>
      </c>
      <c r="E92" s="34" t="s">
        <v>229</v>
      </c>
      <c r="F92" s="31" t="s">
        <v>23</v>
      </c>
    </row>
    <row r="93" spans="1:6" ht="39" customHeight="1" x14ac:dyDescent="0.2">
      <c r="A93" s="31">
        <v>66</v>
      </c>
      <c r="B93" s="31" t="s">
        <v>218</v>
      </c>
      <c r="C93" s="39" t="s">
        <v>219</v>
      </c>
      <c r="D93" s="33" t="s">
        <v>230</v>
      </c>
      <c r="E93" s="34" t="s">
        <v>231</v>
      </c>
      <c r="F93" s="31" t="s">
        <v>23</v>
      </c>
    </row>
    <row r="94" spans="1:6" ht="39" customHeight="1" x14ac:dyDescent="0.2">
      <c r="A94" s="31">
        <v>67</v>
      </c>
      <c r="B94" s="31" t="s">
        <v>218</v>
      </c>
      <c r="C94" s="39" t="s">
        <v>219</v>
      </c>
      <c r="D94" s="33" t="s">
        <v>232</v>
      </c>
      <c r="E94" s="34" t="s">
        <v>233</v>
      </c>
      <c r="F94" s="31" t="s">
        <v>23</v>
      </c>
    </row>
    <row r="96" spans="1:6" ht="21.75" customHeight="1" x14ac:dyDescent="0.2">
      <c r="A96" s="4" t="s">
        <v>234</v>
      </c>
      <c r="B96" s="4"/>
      <c r="C96" s="4"/>
      <c r="D96" s="4"/>
      <c r="E96" s="4"/>
      <c r="F96" s="4"/>
    </row>
  </sheetData>
  <mergeCells count="12">
    <mergeCell ref="A85:F85"/>
    <mergeCell ref="A96:F96"/>
    <mergeCell ref="A28:F28"/>
    <mergeCell ref="A50:F50"/>
    <mergeCell ref="A60:F60"/>
    <mergeCell ref="A66:F66"/>
    <mergeCell ref="A76:F76"/>
    <mergeCell ref="A1:F1"/>
    <mergeCell ref="A2:F2"/>
    <mergeCell ref="A3:F3"/>
    <mergeCell ref="A5:F5"/>
    <mergeCell ref="A13:F13"/>
  </mergeCells>
  <hyperlinks>
    <hyperlink ref="F20" r:id="rId1" location="'P1%20Prob%20Above'!A1" xr:uid="{00000000-0004-0000-0100-000000000000}"/>
    <hyperlink ref="F21" r:id="rId2" location="'P1%20Prob%20Above'!A1" xr:uid="{00000000-0004-0000-0100-000001000000}"/>
    <hyperlink ref="F22" r:id="rId3" location="'P2%20Percentile'!A1" xr:uid="{00000000-0004-0000-0100-000002000000}"/>
    <hyperlink ref="F23" r:id="rId4" location="'P3%20Prob%20Below'!A1" xr:uid="{00000000-0004-0000-0100-000003000000}"/>
    <hyperlink ref="F25" r:id="rId5" location="'P4%20ITC%20Data'!A1" xr:uid="{00000000-0004-0000-0100-000004000000}"/>
    <hyperlink ref="F26" r:id="rId6" location="'P4%20ITC%20Data'!A1" xr:uid="{00000000-0004-0000-0100-000005000000}"/>
    <hyperlink ref="F35" r:id="rId7" location="'P6%20Binary%20Two%20Worlds'!A1" xr:uid="{00000000-0004-0000-0100-000006000000}"/>
    <hyperlink ref="F37" r:id="rId8" location="'P5%20Forward'!A1" xr:uid="{00000000-0004-0000-0100-000007000000}"/>
    <hyperlink ref="F38" r:id="rId9" location="'P5%20Forward'!A1" xr:uid="{00000000-0004-0000-0100-000008000000}"/>
    <hyperlink ref="F39" r:id="rId10" location="'P6%20Binary%20Two%20Worlds'!A1" xr:uid="{00000000-0004-0000-0100-000009000000}"/>
    <hyperlink ref="F40" r:id="rId11" location="'P6%20Binary%20Two%20Worlds'!A1" xr:uid="{00000000-0004-0000-0100-00000A000000}"/>
    <hyperlink ref="F41" r:id="rId12" location="'P8%20Binary%207.6'!A1" xr:uid="{00000000-0004-0000-0100-00000B000000}"/>
    <hyperlink ref="F42" r:id="rId13" location="'P7%20Binary%207.12'!A1" xr:uid="{00000000-0004-0000-0100-00000C000000}"/>
    <hyperlink ref="F43" r:id="rId14" location="'P6%20Binary%20Two%20Worlds'!A1" xr:uid="{00000000-0004-0000-0100-00000D000000}"/>
    <hyperlink ref="F45" r:id="rId15" location="'P9%20State%20Prices'!A1" xr:uid="{00000000-0004-0000-0100-00000E000000}"/>
    <hyperlink ref="F46" r:id="rId16" location="'P9%20State%20Prices'!A1" xr:uid="{00000000-0004-0000-0100-00000F000000}"/>
    <hyperlink ref="F54" r:id="rId17" location="'P10%20VaR%20Shares'!A1" xr:uid="{00000000-0004-0000-0100-000010000000}"/>
    <hyperlink ref="F55" r:id="rId18" location="'P11%20Worst%20Case'!A1" xr:uid="{00000000-0004-0000-0100-000011000000}"/>
    <hyperlink ref="F57" r:id="rId19" location="'P12%20PNB%20SBI'!A1" xr:uid="{00000000-0004-0000-0100-000012000000}"/>
    <hyperlink ref="F58" r:id="rId20" location="'P12%20PNB%20SBI'!A1" xr:uid="{00000000-0004-0000-0100-000013000000}"/>
    <hyperlink ref="F62" r:id="rId21" location="'P13%20Both%20Worlds'!A1" xr:uid="{00000000-0004-0000-0100-000014000000}"/>
    <hyperlink ref="F63" r:id="rId22" location="'P13%20Both%20Worlds'!A1" xr:uid="{00000000-0004-0000-0100-000015000000}"/>
    <hyperlink ref="F64" r:id="rId23" location="'P13%20Both%20Worlds'!A1" xr:uid="{00000000-0004-0000-0100-000016000000}"/>
    <hyperlink ref="F68" r:id="rId24" location="'P14%20Monte%20Carlo'!A1" xr:uid="{00000000-0004-0000-0100-000017000000}"/>
    <hyperlink ref="F69" r:id="rId25" location="'P14%20Monte%20Carlo'!A1" xr:uid="{00000000-0004-0000-0100-000018000000}"/>
    <hyperlink ref="F74" r:id="rId26" location="'P14%20Monte%20Carlo'!A1" xr:uid="{00000000-0004-0000-0100-000019000000}"/>
    <hyperlink ref="F79" r:id="rId27" location="'P15%20CAPM%20Lambda'!A1" xr:uid="{00000000-0004-0000-0100-00001A000000}"/>
    <hyperlink ref="F80" r:id="rId28" location="'P15%20CAPM%20Lambda'!A1" xr:uid="{00000000-0004-0000-0100-00001B000000}"/>
    <hyperlink ref="F81" r:id="rId29" location="'P15%20CAPM%20Lambda'!A1" xr:uid="{00000000-0004-0000-0100-00001C000000}"/>
  </hyperlink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E7F82"/>
    <pageSetUpPr fitToPage="1"/>
  </sheetPr>
  <dimension ref="A1:E29"/>
  <sheetViews>
    <sheetView showGridLines="0" topLeftCell="A4" zoomScale="135" zoomScaleNormal="135" workbookViewId="0">
      <selection activeCell="A24" sqref="A24:E24"/>
    </sheetView>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235</v>
      </c>
      <c r="B1" s="3"/>
      <c r="C1" s="3"/>
      <c r="D1" s="3"/>
      <c r="E1" s="3"/>
    </row>
    <row r="2" spans="1:5" ht="36" customHeight="1" x14ac:dyDescent="0.2">
      <c r="A2" s="2" t="s">
        <v>236</v>
      </c>
      <c r="B2" s="2"/>
      <c r="C2" s="2"/>
      <c r="D2" s="2"/>
      <c r="E2" s="2"/>
    </row>
    <row r="3" spans="1:5" ht="19.5" customHeight="1" x14ac:dyDescent="0.2">
      <c r="A3" s="1" t="s">
        <v>237</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243</v>
      </c>
      <c r="B8" s="25" t="s">
        <v>244</v>
      </c>
      <c r="C8" s="41">
        <v>50</v>
      </c>
      <c r="D8" s="93" t="s">
        <v>245</v>
      </c>
      <c r="E8" s="93"/>
    </row>
    <row r="9" spans="1:5" ht="19" x14ac:dyDescent="0.25">
      <c r="A9" s="16" t="s">
        <v>246</v>
      </c>
      <c r="B9" s="25" t="s">
        <v>247</v>
      </c>
      <c r="C9" s="41">
        <v>70</v>
      </c>
      <c r="D9" s="93"/>
      <c r="E9" s="93"/>
    </row>
    <row r="10" spans="1:5" ht="19" x14ac:dyDescent="0.25">
      <c r="A10" s="16" t="s">
        <v>248</v>
      </c>
      <c r="B10" s="25" t="s">
        <v>249</v>
      </c>
      <c r="C10" s="42">
        <v>0.12</v>
      </c>
      <c r="D10" s="93" t="s">
        <v>250</v>
      </c>
      <c r="E10" s="93"/>
    </row>
    <row r="11" spans="1:5" ht="19" x14ac:dyDescent="0.25">
      <c r="A11" s="16" t="s">
        <v>251</v>
      </c>
      <c r="B11" s="25" t="s">
        <v>252</v>
      </c>
      <c r="C11" s="42">
        <v>0.2</v>
      </c>
      <c r="D11" s="93" t="s">
        <v>253</v>
      </c>
      <c r="E11" s="93"/>
    </row>
    <row r="12" spans="1:5" ht="19" x14ac:dyDescent="0.25">
      <c r="A12" s="16" t="s">
        <v>254</v>
      </c>
      <c r="B12" s="25" t="s">
        <v>255</v>
      </c>
      <c r="C12" s="43">
        <v>2</v>
      </c>
      <c r="D12" s="93" t="s">
        <v>256</v>
      </c>
      <c r="E12" s="93"/>
    </row>
    <row r="14" spans="1:5" ht="24" customHeight="1" x14ac:dyDescent="0.2">
      <c r="A14" s="91" t="s">
        <v>257</v>
      </c>
      <c r="B14" s="91"/>
      <c r="C14" s="91"/>
      <c r="D14" s="91"/>
      <c r="E14" s="91"/>
    </row>
    <row r="15" spans="1:5" ht="21.75" customHeight="1" x14ac:dyDescent="0.2">
      <c r="A15" s="40" t="s">
        <v>258</v>
      </c>
      <c r="B15" s="40" t="s">
        <v>240</v>
      </c>
      <c r="C15" s="40" t="s">
        <v>259</v>
      </c>
      <c r="D15" s="40" t="s">
        <v>260</v>
      </c>
      <c r="E15" s="40" t="s">
        <v>261</v>
      </c>
    </row>
    <row r="16" spans="1:5" ht="30" customHeight="1" x14ac:dyDescent="0.25">
      <c r="A16" s="16" t="s">
        <v>262</v>
      </c>
      <c r="B16" s="25" t="s">
        <v>263</v>
      </c>
      <c r="C16" s="44" t="s">
        <v>264</v>
      </c>
      <c r="D16" s="45">
        <f>LN($C$8/$C$9)</f>
        <v>-0.33647223662121289</v>
      </c>
      <c r="E16" s="46" t="s">
        <v>265</v>
      </c>
    </row>
    <row r="17" spans="1:5" ht="30" customHeight="1" x14ac:dyDescent="0.25">
      <c r="A17" s="16" t="s">
        <v>266</v>
      </c>
      <c r="B17" s="25" t="s">
        <v>267</v>
      </c>
      <c r="C17" s="44" t="s">
        <v>268</v>
      </c>
      <c r="D17" s="45">
        <f>($C$10-$C$11^2/2)*$C$12</f>
        <v>0.19999999999999998</v>
      </c>
      <c r="E17" s="46" t="s">
        <v>269</v>
      </c>
    </row>
    <row r="18" spans="1:5" ht="30" customHeight="1" x14ac:dyDescent="0.25">
      <c r="A18" s="16" t="s">
        <v>270</v>
      </c>
      <c r="B18" s="25" t="s">
        <v>271</v>
      </c>
      <c r="C18" s="44" t="s">
        <v>272</v>
      </c>
      <c r="D18" s="45">
        <f>$C$11*SQRT($C$12)</f>
        <v>0.28284271247461906</v>
      </c>
      <c r="E18" s="46" t="s">
        <v>273</v>
      </c>
    </row>
    <row r="19" spans="1:5" ht="30" customHeight="1" x14ac:dyDescent="0.25">
      <c r="A19" s="16" t="s">
        <v>274</v>
      </c>
      <c r="B19" s="25" t="s">
        <v>275</v>
      </c>
      <c r="C19" s="44" t="s">
        <v>276</v>
      </c>
      <c r="D19" s="45">
        <f>($D$16+$D$17)/$D$18</f>
        <v>-0.48250221979277358</v>
      </c>
      <c r="E19" s="46" t="s">
        <v>277</v>
      </c>
    </row>
    <row r="20" spans="1:5" ht="30" customHeight="1" x14ac:dyDescent="0.25">
      <c r="A20" s="25" t="s">
        <v>278</v>
      </c>
      <c r="B20" s="25" t="s">
        <v>279</v>
      </c>
      <c r="C20" s="44" t="s">
        <v>280</v>
      </c>
      <c r="D20" s="47">
        <f>NORMSDIST($D$19)</f>
        <v>0.31472461094635718</v>
      </c>
      <c r="E20" s="46" t="s">
        <v>281</v>
      </c>
    </row>
    <row r="22" spans="1:5" ht="33.75" customHeight="1" x14ac:dyDescent="0.2">
      <c r="A22" s="94" t="str">
        <f>"There is a "&amp;TEXT($D$20,"0.00%")&amp;" real-world probability that the stock will be above $"&amp;TEXT($C$9,"0")&amp;" in "&amp;$C$12&amp;" years."</f>
        <v>There is a 31.47% real-world probability that the stock will be above $70 in 2 years.</v>
      </c>
      <c r="B22" s="94"/>
      <c r="C22" s="94"/>
      <c r="D22" s="94"/>
      <c r="E22" s="94"/>
    </row>
    <row r="24" spans="1:5" ht="24" customHeight="1" x14ac:dyDescent="0.2">
      <c r="A24" s="91" t="s">
        <v>282</v>
      </c>
      <c r="B24" s="91"/>
      <c r="C24" s="91"/>
      <c r="D24" s="91"/>
      <c r="E24" s="91"/>
    </row>
    <row r="25" spans="1:5" ht="21.75" customHeight="1" x14ac:dyDescent="0.2">
      <c r="A25" s="40" t="s">
        <v>283</v>
      </c>
      <c r="B25" s="40"/>
      <c r="C25" s="40" t="s">
        <v>284</v>
      </c>
      <c r="D25" s="40" t="s">
        <v>285</v>
      </c>
      <c r="E25" s="40" t="s">
        <v>286</v>
      </c>
    </row>
    <row r="26" spans="1:5" ht="19" x14ac:dyDescent="0.25">
      <c r="A26" s="16" t="s">
        <v>287</v>
      </c>
      <c r="B26" s="48"/>
      <c r="C26" s="49">
        <v>0.31469999999999998</v>
      </c>
      <c r="D26" s="50">
        <f>$D$20</f>
        <v>0.31472461094635718</v>
      </c>
      <c r="E26" s="18" t="str">
        <f>IF(ABS($D$20-C26)&lt;=0.0001,"MATCH","CHECK")</f>
        <v>MATCH</v>
      </c>
    </row>
    <row r="28" spans="1:5" ht="30" customHeight="1" x14ac:dyDescent="0.2">
      <c r="A28" s="6" t="s">
        <v>288</v>
      </c>
      <c r="B28" s="6"/>
      <c r="C28" s="6"/>
      <c r="D28" s="6"/>
      <c r="E28" s="6"/>
    </row>
    <row r="29" spans="1:5" ht="30" customHeight="1" x14ac:dyDescent="0.2">
      <c r="A29" s="6"/>
      <c r="B29" s="6"/>
      <c r="C29" s="6"/>
      <c r="D29" s="6"/>
      <c r="E29" s="6"/>
    </row>
  </sheetData>
  <mergeCells count="14">
    <mergeCell ref="A14:E14"/>
    <mergeCell ref="A22:E22"/>
    <mergeCell ref="A24:E24"/>
    <mergeCell ref="A28:E29"/>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E7F82"/>
    <pageSetUpPr fitToPage="1"/>
  </sheetPr>
  <dimension ref="A1:E29"/>
  <sheetViews>
    <sheetView showGridLines="0" zoomScaleNormal="100" workbookViewId="0">
      <selection activeCell="A28" sqref="A28:E29"/>
    </sheetView>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289</v>
      </c>
      <c r="B1" s="3"/>
      <c r="C1" s="3"/>
      <c r="D1" s="3"/>
      <c r="E1" s="3"/>
    </row>
    <row r="2" spans="1:5" ht="36" customHeight="1" x14ac:dyDescent="0.2">
      <c r="A2" s="2" t="s">
        <v>290</v>
      </c>
      <c r="B2" s="2"/>
      <c r="C2" s="2"/>
      <c r="D2" s="2"/>
      <c r="E2" s="2"/>
    </row>
    <row r="3" spans="1:5" ht="19.5" customHeight="1" x14ac:dyDescent="0.2">
      <c r="A3" s="1" t="s">
        <v>291</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243</v>
      </c>
      <c r="B8" s="25" t="s">
        <v>244</v>
      </c>
      <c r="C8" s="41">
        <v>50</v>
      </c>
      <c r="D8" s="93"/>
      <c r="E8" s="93"/>
    </row>
    <row r="9" spans="1:5" ht="19" x14ac:dyDescent="0.25">
      <c r="A9" s="16" t="s">
        <v>292</v>
      </c>
      <c r="B9" s="25" t="s">
        <v>249</v>
      </c>
      <c r="C9" s="42">
        <v>0.12</v>
      </c>
      <c r="D9" s="93" t="s">
        <v>293</v>
      </c>
      <c r="E9" s="93"/>
    </row>
    <row r="10" spans="1:5" ht="19" x14ac:dyDescent="0.25">
      <c r="A10" s="16" t="s">
        <v>251</v>
      </c>
      <c r="B10" s="25" t="s">
        <v>252</v>
      </c>
      <c r="C10" s="42">
        <v>0.2</v>
      </c>
      <c r="D10" s="93"/>
      <c r="E10" s="93"/>
    </row>
    <row r="11" spans="1:5" ht="19" x14ac:dyDescent="0.25">
      <c r="A11" s="16" t="s">
        <v>254</v>
      </c>
      <c r="B11" s="25" t="s">
        <v>255</v>
      </c>
      <c r="C11" s="43">
        <v>2</v>
      </c>
      <c r="D11" s="93"/>
      <c r="E11" s="93"/>
    </row>
    <row r="12" spans="1:5" ht="19" x14ac:dyDescent="0.25">
      <c r="A12" s="16" t="s">
        <v>294</v>
      </c>
      <c r="B12" s="25" t="s">
        <v>295</v>
      </c>
      <c r="C12" s="42">
        <v>0.05</v>
      </c>
      <c r="D12" s="93" t="s">
        <v>296</v>
      </c>
      <c r="E12" s="93"/>
    </row>
    <row r="14" spans="1:5" ht="24" customHeight="1" x14ac:dyDescent="0.2">
      <c r="A14" s="91" t="s">
        <v>257</v>
      </c>
      <c r="B14" s="91"/>
      <c r="C14" s="91"/>
      <c r="D14" s="91"/>
      <c r="E14" s="91"/>
    </row>
    <row r="15" spans="1:5" ht="21.75" customHeight="1" x14ac:dyDescent="0.2">
      <c r="A15" s="40" t="s">
        <v>258</v>
      </c>
      <c r="B15" s="40" t="s">
        <v>240</v>
      </c>
      <c r="C15" s="40" t="s">
        <v>259</v>
      </c>
      <c r="D15" s="40" t="s">
        <v>260</v>
      </c>
      <c r="E15" s="40" t="s">
        <v>261</v>
      </c>
    </row>
    <row r="16" spans="1:5" ht="30" customHeight="1" x14ac:dyDescent="0.25">
      <c r="A16" s="16" t="s">
        <v>297</v>
      </c>
      <c r="B16" s="25" t="s">
        <v>298</v>
      </c>
      <c r="C16" s="44" t="s">
        <v>299</v>
      </c>
      <c r="D16" s="45">
        <f>NORMSINV($C$12)</f>
        <v>-1.6448536269514726</v>
      </c>
      <c r="E16" s="46" t="s">
        <v>300</v>
      </c>
    </row>
    <row r="17" spans="1:5" ht="30" customHeight="1" x14ac:dyDescent="0.25">
      <c r="A17" s="16" t="s">
        <v>266</v>
      </c>
      <c r="B17" s="25" t="s">
        <v>267</v>
      </c>
      <c r="C17" s="44" t="s">
        <v>268</v>
      </c>
      <c r="D17" s="45">
        <f>($C$9-$C$10^2/2)*$C$11</f>
        <v>0.19999999999999998</v>
      </c>
      <c r="E17" s="46" t="s">
        <v>301</v>
      </c>
    </row>
    <row r="18" spans="1:5" ht="30" customHeight="1" x14ac:dyDescent="0.25">
      <c r="A18" s="16" t="s">
        <v>270</v>
      </c>
      <c r="B18" s="25" t="s">
        <v>271</v>
      </c>
      <c r="C18" s="44" t="s">
        <v>272</v>
      </c>
      <c r="D18" s="45">
        <f>$C$10*SQRT($C$11)</f>
        <v>0.28284271247461906</v>
      </c>
      <c r="E18" s="46" t="s">
        <v>302</v>
      </c>
    </row>
    <row r="19" spans="1:5" ht="30" customHeight="1" x14ac:dyDescent="0.25">
      <c r="A19" s="16" t="s">
        <v>303</v>
      </c>
      <c r="B19" s="25" t="s">
        <v>304</v>
      </c>
      <c r="C19" s="44" t="s">
        <v>305</v>
      </c>
      <c r="D19" s="45">
        <f>$D$17-$D$16*$D$18</f>
        <v>0.66523486147066968</v>
      </c>
      <c r="E19" s="46" t="s">
        <v>306</v>
      </c>
    </row>
    <row r="20" spans="1:5" ht="30" customHeight="1" x14ac:dyDescent="0.25">
      <c r="A20" s="25" t="s">
        <v>307</v>
      </c>
      <c r="B20" s="25" t="s">
        <v>247</v>
      </c>
      <c r="C20" s="44" t="s">
        <v>308</v>
      </c>
      <c r="D20" s="51">
        <f>$C$8*EXP($D$19)</f>
        <v>97.247363043676785</v>
      </c>
      <c r="E20" s="46" t="s">
        <v>309</v>
      </c>
    </row>
    <row r="22" spans="1:5" ht="33.75" customHeight="1" x14ac:dyDescent="0.2">
      <c r="A22" s="94" t="str">
        <f>"There is only a "&amp;TEXT($C$12,"0%")&amp;" chance that the price exceeds $"&amp;TEXT($D$20,"0.00")&amp;" in "&amp;$C$11&amp;" years (the "&amp;TEXT(1-$C$12,"0%")&amp;" percentile)."</f>
        <v>There is only a 5% chance that the price exceeds $97.25 in 2 years (the 95% percentile).</v>
      </c>
      <c r="B22" s="94"/>
      <c r="C22" s="94"/>
      <c r="D22" s="94"/>
      <c r="E22" s="94"/>
    </row>
    <row r="24" spans="1:5" ht="24" customHeight="1" x14ac:dyDescent="0.2">
      <c r="A24" s="91" t="s">
        <v>282</v>
      </c>
      <c r="B24" s="91"/>
      <c r="C24" s="91"/>
      <c r="D24" s="91"/>
      <c r="E24" s="91"/>
    </row>
    <row r="25" spans="1:5" ht="21.75" customHeight="1" x14ac:dyDescent="0.2">
      <c r="A25" s="40" t="s">
        <v>283</v>
      </c>
      <c r="B25" s="40"/>
      <c r="C25" s="40" t="s">
        <v>284</v>
      </c>
      <c r="D25" s="40" t="s">
        <v>285</v>
      </c>
      <c r="E25" s="40" t="s">
        <v>286</v>
      </c>
    </row>
    <row r="26" spans="1:5" ht="19" x14ac:dyDescent="0.25">
      <c r="A26" s="16" t="s">
        <v>310</v>
      </c>
      <c r="B26" s="48"/>
      <c r="C26" s="52">
        <v>97.25</v>
      </c>
      <c r="D26" s="53">
        <f>$D$20</f>
        <v>97.247363043676785</v>
      </c>
      <c r="E26" s="18" t="str">
        <f>IF(ABS($D$20-C26)&lt;=0.01,"MATCH","CHECK")</f>
        <v>MATCH</v>
      </c>
    </row>
    <row r="28" spans="1:5" ht="30" customHeight="1" x14ac:dyDescent="0.2">
      <c r="A28" s="6" t="s">
        <v>311</v>
      </c>
      <c r="B28" s="6"/>
      <c r="C28" s="6"/>
      <c r="D28" s="6"/>
      <c r="E28" s="6"/>
    </row>
    <row r="29" spans="1:5" ht="30" customHeight="1" x14ac:dyDescent="0.2">
      <c r="A29" s="6"/>
      <c r="B29" s="6"/>
      <c r="C29" s="6"/>
      <c r="D29" s="6"/>
      <c r="E29" s="6"/>
    </row>
  </sheetData>
  <mergeCells count="14">
    <mergeCell ref="A14:E14"/>
    <mergeCell ref="A22:E22"/>
    <mergeCell ref="A24:E24"/>
    <mergeCell ref="A28:E29"/>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E7F82"/>
    <pageSetUpPr fitToPage="1"/>
  </sheetPr>
  <dimension ref="A1:E30"/>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312</v>
      </c>
      <c r="B1" s="3"/>
      <c r="C1" s="3"/>
      <c r="D1" s="3"/>
      <c r="E1" s="3"/>
    </row>
    <row r="2" spans="1:5" ht="36" customHeight="1" x14ac:dyDescent="0.2">
      <c r="A2" s="2" t="s">
        <v>313</v>
      </c>
      <c r="B2" s="2"/>
      <c r="C2" s="2"/>
      <c r="D2" s="2"/>
      <c r="E2" s="2"/>
    </row>
    <row r="3" spans="1:5" ht="19.5" customHeight="1" x14ac:dyDescent="0.2">
      <c r="A3" s="1" t="s">
        <v>314</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243</v>
      </c>
      <c r="B8" s="25" t="s">
        <v>244</v>
      </c>
      <c r="C8" s="41">
        <v>40</v>
      </c>
      <c r="D8" s="93"/>
      <c r="E8" s="93"/>
    </row>
    <row r="9" spans="1:5" ht="19" x14ac:dyDescent="0.25">
      <c r="A9" s="16" t="s">
        <v>315</v>
      </c>
      <c r="B9" s="25" t="s">
        <v>247</v>
      </c>
      <c r="C9" s="41">
        <v>30</v>
      </c>
      <c r="D9" s="93"/>
      <c r="E9" s="93"/>
    </row>
    <row r="10" spans="1:5" ht="19" x14ac:dyDescent="0.25">
      <c r="A10" s="16" t="s">
        <v>292</v>
      </c>
      <c r="B10" s="25" t="s">
        <v>249</v>
      </c>
      <c r="C10" s="42">
        <v>0.09</v>
      </c>
      <c r="D10" s="93" t="s">
        <v>293</v>
      </c>
      <c r="E10" s="93"/>
    </row>
    <row r="11" spans="1:5" ht="19" x14ac:dyDescent="0.25">
      <c r="A11" s="16" t="s">
        <v>251</v>
      </c>
      <c r="B11" s="25" t="s">
        <v>252</v>
      </c>
      <c r="C11" s="42">
        <v>0.25</v>
      </c>
      <c r="D11" s="93"/>
      <c r="E11" s="93"/>
    </row>
    <row r="12" spans="1:5" ht="19" x14ac:dyDescent="0.25">
      <c r="A12" s="16" t="s">
        <v>254</v>
      </c>
      <c r="B12" s="25" t="s">
        <v>255</v>
      </c>
      <c r="C12" s="43">
        <f>18/12</f>
        <v>1.5</v>
      </c>
      <c r="D12" s="93" t="s">
        <v>316</v>
      </c>
      <c r="E12" s="93"/>
    </row>
    <row r="14" spans="1:5" ht="24" customHeight="1" x14ac:dyDescent="0.2">
      <c r="A14" s="91" t="s">
        <v>257</v>
      </c>
      <c r="B14" s="91"/>
      <c r="C14" s="91"/>
      <c r="D14" s="91"/>
      <c r="E14" s="91"/>
    </row>
    <row r="15" spans="1:5" ht="21.75" customHeight="1" x14ac:dyDescent="0.2">
      <c r="A15" s="40" t="s">
        <v>258</v>
      </c>
      <c r="B15" s="40" t="s">
        <v>240</v>
      </c>
      <c r="C15" s="40" t="s">
        <v>259</v>
      </c>
      <c r="D15" s="40" t="s">
        <v>260</v>
      </c>
      <c r="E15" s="40" t="s">
        <v>261</v>
      </c>
    </row>
    <row r="16" spans="1:5" ht="30" customHeight="1" x14ac:dyDescent="0.25">
      <c r="A16" s="16" t="s">
        <v>262</v>
      </c>
      <c r="B16" s="25" t="s">
        <v>263</v>
      </c>
      <c r="C16" s="44" t="s">
        <v>317</v>
      </c>
      <c r="D16" s="45">
        <f>LN($C$8/$C$9)</f>
        <v>0.28768207245178085</v>
      </c>
      <c r="E16" s="46" t="s">
        <v>265</v>
      </c>
    </row>
    <row r="17" spans="1:5" ht="30" customHeight="1" x14ac:dyDescent="0.25">
      <c r="A17" s="16" t="s">
        <v>266</v>
      </c>
      <c r="B17" s="25" t="s">
        <v>267</v>
      </c>
      <c r="C17" s="44" t="s">
        <v>268</v>
      </c>
      <c r="D17" s="45">
        <f>($C$10-$C$11^2/2)*$C$12</f>
        <v>8.8124999999999995E-2</v>
      </c>
      <c r="E17" s="46" t="s">
        <v>269</v>
      </c>
    </row>
    <row r="18" spans="1:5" ht="30" customHeight="1" x14ac:dyDescent="0.25">
      <c r="A18" s="16" t="s">
        <v>270</v>
      </c>
      <c r="B18" s="25" t="s">
        <v>271</v>
      </c>
      <c r="C18" s="44" t="s">
        <v>272</v>
      </c>
      <c r="D18" s="45">
        <f>$C$11*SQRT($C$12)</f>
        <v>0.30618621784789724</v>
      </c>
      <c r="E18" s="46" t="s">
        <v>273</v>
      </c>
    </row>
    <row r="19" spans="1:5" ht="30" customHeight="1" x14ac:dyDescent="0.25">
      <c r="A19" s="16" t="s">
        <v>274</v>
      </c>
      <c r="B19" s="25" t="s">
        <v>275</v>
      </c>
      <c r="C19" s="44" t="s">
        <v>276</v>
      </c>
      <c r="D19" s="45">
        <f>($D$16+$D$17)/$D$18</f>
        <v>1.2273807589813492</v>
      </c>
      <c r="E19" s="46" t="s">
        <v>277</v>
      </c>
    </row>
    <row r="20" spans="1:5" ht="30" customHeight="1" x14ac:dyDescent="0.25">
      <c r="A20" s="25" t="s">
        <v>318</v>
      </c>
      <c r="B20" s="25" t="s">
        <v>279</v>
      </c>
      <c r="C20" s="44" t="s">
        <v>319</v>
      </c>
      <c r="D20" s="47">
        <f>NORMSDIST(-$D$19)</f>
        <v>0.10983975737631445</v>
      </c>
      <c r="E20" s="46" t="s">
        <v>320</v>
      </c>
    </row>
    <row r="21" spans="1:5" ht="30" customHeight="1" x14ac:dyDescent="0.25">
      <c r="A21" s="16" t="s">
        <v>321</v>
      </c>
      <c r="B21" s="25" t="s">
        <v>322</v>
      </c>
      <c r="C21" s="44" t="s">
        <v>323</v>
      </c>
      <c r="D21" s="54">
        <f>1-$D$20</f>
        <v>0.89016024262368554</v>
      </c>
      <c r="E21" s="46" t="s">
        <v>324</v>
      </c>
    </row>
    <row r="23" spans="1:5" ht="33.75" customHeight="1" x14ac:dyDescent="0.2">
      <c r="A23" s="94" t="str">
        <f>"Probability of falling below $"&amp;TEXT($C$9,"0")&amp;" in 18 months = "&amp;TEXT($D$20,"0.00%")&amp;" — roughly 1 in "&amp;TEXT(1/$D$20,"0")&amp;"."</f>
        <v>Probability of falling below $30 in 18 months = 10.98% — roughly 1 in 9.</v>
      </c>
      <c r="B23" s="94"/>
      <c r="C23" s="94"/>
      <c r="D23" s="94"/>
      <c r="E23" s="94"/>
    </row>
    <row r="25" spans="1:5" ht="24" customHeight="1" x14ac:dyDescent="0.2">
      <c r="A25" s="91" t="s">
        <v>282</v>
      </c>
      <c r="B25" s="91"/>
      <c r="C25" s="91"/>
      <c r="D25" s="91"/>
      <c r="E25" s="91"/>
    </row>
    <row r="26" spans="1:5" ht="21.75" customHeight="1" x14ac:dyDescent="0.2">
      <c r="A26" s="40" t="s">
        <v>283</v>
      </c>
      <c r="B26" s="40"/>
      <c r="C26" s="40" t="s">
        <v>284</v>
      </c>
      <c r="D26" s="40" t="s">
        <v>285</v>
      </c>
      <c r="E26" s="40" t="s">
        <v>286</v>
      </c>
    </row>
    <row r="27" spans="1:5" ht="19" x14ac:dyDescent="0.25">
      <c r="A27" s="16" t="s">
        <v>325</v>
      </c>
      <c r="B27" s="48"/>
      <c r="C27" s="49">
        <v>0.10979999999999999</v>
      </c>
      <c r="D27" s="50">
        <f>$D$20</f>
        <v>0.10983975737631445</v>
      </c>
      <c r="E27" s="18" t="str">
        <f>IF(ABS($D$20-C27)&lt;=0.0001,"MATCH","CHECK")</f>
        <v>MATCH</v>
      </c>
    </row>
    <row r="29" spans="1:5" ht="30" customHeight="1" x14ac:dyDescent="0.2">
      <c r="A29" s="6" t="s">
        <v>326</v>
      </c>
      <c r="B29" s="6"/>
      <c r="C29" s="6"/>
      <c r="D29" s="6"/>
      <c r="E29" s="6"/>
    </row>
    <row r="30" spans="1:5" ht="30" customHeight="1" x14ac:dyDescent="0.2">
      <c r="A30" s="6"/>
      <c r="B30" s="6"/>
      <c r="C30" s="6"/>
      <c r="D30" s="6"/>
      <c r="E30" s="6"/>
    </row>
  </sheetData>
  <mergeCells count="14">
    <mergeCell ref="A14:E14"/>
    <mergeCell ref="A23:E23"/>
    <mergeCell ref="A25:E25"/>
    <mergeCell ref="A29:E30"/>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E7F82"/>
    <pageSetUpPr fitToPage="1"/>
  </sheetPr>
  <dimension ref="A1:I255"/>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6" width="3" customWidth="1"/>
    <col min="7" max="9" width="14" customWidth="1"/>
  </cols>
  <sheetData>
    <row r="1" spans="1:9" ht="31.5" customHeight="1" x14ac:dyDescent="0.2">
      <c r="A1" s="3" t="s">
        <v>327</v>
      </c>
      <c r="B1" s="3"/>
      <c r="C1" s="3"/>
      <c r="D1" s="3"/>
      <c r="E1" s="3"/>
    </row>
    <row r="2" spans="1:9" ht="36" customHeight="1" x14ac:dyDescent="0.2">
      <c r="A2" s="2" t="s">
        <v>328</v>
      </c>
      <c r="B2" s="2"/>
      <c r="C2" s="2"/>
      <c r="D2" s="2"/>
      <c r="E2" s="2"/>
    </row>
    <row r="3" spans="1:9" ht="19.5" customHeight="1" x14ac:dyDescent="0.2">
      <c r="A3" s="1" t="s">
        <v>329</v>
      </c>
      <c r="B3" s="1"/>
      <c r="C3" s="1"/>
      <c r="D3" s="1"/>
      <c r="E3" s="1"/>
    </row>
    <row r="5" spans="1:9" ht="19" x14ac:dyDescent="0.25">
      <c r="G5" s="55" t="s">
        <v>330</v>
      </c>
      <c r="H5" s="55" t="s">
        <v>331</v>
      </c>
      <c r="I5" s="55" t="s">
        <v>332</v>
      </c>
    </row>
    <row r="6" spans="1:9" ht="24" customHeight="1" x14ac:dyDescent="0.2">
      <c r="A6" s="91" t="s">
        <v>238</v>
      </c>
      <c r="B6" s="91"/>
      <c r="C6" s="91"/>
      <c r="D6" s="91"/>
      <c r="E6" s="91"/>
      <c r="G6" s="56">
        <v>45558</v>
      </c>
      <c r="H6" s="57">
        <v>489.03989999999999</v>
      </c>
    </row>
    <row r="7" spans="1:9" ht="21.75" customHeight="1" x14ac:dyDescent="0.2">
      <c r="A7" s="40" t="s">
        <v>239</v>
      </c>
      <c r="B7" s="40" t="s">
        <v>240</v>
      </c>
      <c r="C7" s="40" t="s">
        <v>241</v>
      </c>
      <c r="D7" s="92" t="s">
        <v>242</v>
      </c>
      <c r="E7" s="92"/>
      <c r="G7" s="56">
        <v>45559</v>
      </c>
      <c r="H7" s="57">
        <v>487.43169999999998</v>
      </c>
      <c r="I7" s="58">
        <f t="shared" ref="I7:I70" si="0">LN(H7/H6)</f>
        <v>-3.2939031796798742E-3</v>
      </c>
    </row>
    <row r="8" spans="1:9" ht="19" x14ac:dyDescent="0.25">
      <c r="A8" s="16" t="s">
        <v>333</v>
      </c>
      <c r="B8" s="25" t="s">
        <v>334</v>
      </c>
      <c r="C8" s="59">
        <f>COUNT($H$6:$H$255)</f>
        <v>250</v>
      </c>
      <c r="D8" s="93" t="s">
        <v>335</v>
      </c>
      <c r="E8" s="93"/>
      <c r="G8" s="56">
        <v>45560</v>
      </c>
      <c r="H8" s="57">
        <v>489.60750000000002</v>
      </c>
      <c r="I8" s="58">
        <f t="shared" si="0"/>
        <v>4.4538716497201361E-3</v>
      </c>
    </row>
    <row r="9" spans="1:9" ht="19" x14ac:dyDescent="0.25">
      <c r="A9" s="16" t="s">
        <v>336</v>
      </c>
      <c r="B9" s="25" t="s">
        <v>244</v>
      </c>
      <c r="C9" s="60">
        <f>$H$255</f>
        <v>403.2</v>
      </c>
      <c r="D9" s="93" t="s">
        <v>337</v>
      </c>
      <c r="E9" s="93"/>
      <c r="G9" s="56">
        <v>45561</v>
      </c>
      <c r="H9" s="57">
        <v>494.52670000000001</v>
      </c>
      <c r="I9" s="58">
        <f t="shared" si="0"/>
        <v>9.9970938301744607E-3</v>
      </c>
    </row>
    <row r="10" spans="1:9" ht="19" x14ac:dyDescent="0.25">
      <c r="A10" s="16" t="s">
        <v>246</v>
      </c>
      <c r="B10" s="25" t="s">
        <v>247</v>
      </c>
      <c r="C10" s="61">
        <v>450</v>
      </c>
      <c r="D10" s="93"/>
      <c r="E10" s="93"/>
      <c r="G10" s="56">
        <v>45562</v>
      </c>
      <c r="H10" s="57">
        <v>494.4794</v>
      </c>
      <c r="I10" s="58">
        <f t="shared" si="0"/>
        <v>-9.5651584021687994E-5</v>
      </c>
    </row>
    <row r="11" spans="1:9" ht="19" x14ac:dyDescent="0.25">
      <c r="A11" s="16" t="s">
        <v>254</v>
      </c>
      <c r="B11" s="25" t="s">
        <v>255</v>
      </c>
      <c r="C11" s="43">
        <v>1</v>
      </c>
      <c r="D11" s="93"/>
      <c r="E11" s="93"/>
      <c r="G11" s="56">
        <v>45565</v>
      </c>
      <c r="H11" s="57">
        <v>490.17509999999999</v>
      </c>
      <c r="I11" s="58">
        <f t="shared" si="0"/>
        <v>-8.7428177441540491E-3</v>
      </c>
    </row>
    <row r="12" spans="1:9" ht="19" x14ac:dyDescent="0.25">
      <c r="A12" s="16" t="s">
        <v>338</v>
      </c>
      <c r="B12" s="25"/>
      <c r="C12" s="62">
        <v>252</v>
      </c>
      <c r="D12" s="93" t="s">
        <v>339</v>
      </c>
      <c r="E12" s="93"/>
      <c r="G12" s="56">
        <v>45566</v>
      </c>
      <c r="H12" s="57">
        <v>488.3304</v>
      </c>
      <c r="I12" s="58">
        <f t="shared" si="0"/>
        <v>-3.7704482711586789E-3</v>
      </c>
    </row>
    <row r="13" spans="1:9" x14ac:dyDescent="0.2">
      <c r="G13" s="56">
        <v>45568</v>
      </c>
      <c r="H13" s="57">
        <v>485.06659999999999</v>
      </c>
      <c r="I13" s="58">
        <f t="shared" si="0"/>
        <v>-6.706024841437854E-3</v>
      </c>
    </row>
    <row r="14" spans="1:9" ht="24" customHeight="1" x14ac:dyDescent="0.2">
      <c r="A14" s="91" t="s">
        <v>257</v>
      </c>
      <c r="B14" s="91"/>
      <c r="C14" s="91"/>
      <c r="D14" s="91"/>
      <c r="E14" s="91"/>
      <c r="G14" s="56">
        <v>45569</v>
      </c>
      <c r="H14" s="57">
        <v>476.36329999999998</v>
      </c>
      <c r="I14" s="58">
        <f t="shared" si="0"/>
        <v>-1.8105402688042824E-2</v>
      </c>
    </row>
    <row r="15" spans="1:9" ht="21.75" customHeight="1" x14ac:dyDescent="0.2">
      <c r="A15" s="40" t="s">
        <v>258</v>
      </c>
      <c r="B15" s="40" t="s">
        <v>240</v>
      </c>
      <c r="C15" s="40" t="s">
        <v>259</v>
      </c>
      <c r="D15" s="40" t="s">
        <v>260</v>
      </c>
      <c r="E15" s="40" t="s">
        <v>261</v>
      </c>
      <c r="G15" s="56">
        <v>45572</v>
      </c>
      <c r="H15" s="57">
        <v>482.65429999999998</v>
      </c>
      <c r="I15" s="58">
        <f t="shared" si="0"/>
        <v>1.3119863992755353E-2</v>
      </c>
    </row>
    <row r="16" spans="1:9" ht="30" customHeight="1" x14ac:dyDescent="0.25">
      <c r="A16" s="16" t="s">
        <v>340</v>
      </c>
      <c r="B16" s="25" t="s">
        <v>341</v>
      </c>
      <c r="C16" s="44" t="s">
        <v>342</v>
      </c>
      <c r="D16" s="54">
        <f>AVERAGE($I$7:$I$255)</f>
        <v>-7.7514604209253486E-4</v>
      </c>
      <c r="E16" s="46" t="s">
        <v>343</v>
      </c>
      <c r="G16" s="56">
        <v>45573</v>
      </c>
      <c r="H16" s="57">
        <v>480.5258</v>
      </c>
      <c r="I16" s="58">
        <f t="shared" si="0"/>
        <v>-4.4197413648024422E-3</v>
      </c>
    </row>
    <row r="17" spans="1:9" ht="30" customHeight="1" x14ac:dyDescent="0.25">
      <c r="A17" s="16" t="s">
        <v>344</v>
      </c>
      <c r="B17" s="25" t="s">
        <v>345</v>
      </c>
      <c r="C17" s="44" t="s">
        <v>346</v>
      </c>
      <c r="D17" s="54">
        <f>STDEV($I$7:$I$255)</f>
        <v>1.0459579151748867E-2</v>
      </c>
      <c r="E17" s="46" t="s">
        <v>347</v>
      </c>
      <c r="G17" s="56">
        <v>45574</v>
      </c>
      <c r="H17" s="57">
        <v>465.15309999999999</v>
      </c>
      <c r="I17" s="58">
        <f t="shared" si="0"/>
        <v>-3.2514322328368421E-2</v>
      </c>
    </row>
    <row r="18" spans="1:9" ht="30" customHeight="1" x14ac:dyDescent="0.25">
      <c r="A18" s="16" t="s">
        <v>348</v>
      </c>
      <c r="B18" s="25" t="s">
        <v>349</v>
      </c>
      <c r="C18" s="44" t="s">
        <v>350</v>
      </c>
      <c r="D18" s="54">
        <f>$D$16*$C$12</f>
        <v>-0.19533680260731878</v>
      </c>
      <c r="E18" s="46" t="s">
        <v>351</v>
      </c>
      <c r="G18" s="56">
        <v>45575</v>
      </c>
      <c r="H18" s="57">
        <v>465.48419999999999</v>
      </c>
      <c r="I18" s="58">
        <f t="shared" si="0"/>
        <v>7.1155543404496186E-4</v>
      </c>
    </row>
    <row r="19" spans="1:9" ht="30" customHeight="1" x14ac:dyDescent="0.25">
      <c r="A19" s="16" t="s">
        <v>352</v>
      </c>
      <c r="B19" s="25" t="s">
        <v>353</v>
      </c>
      <c r="C19" s="44" t="s">
        <v>354</v>
      </c>
      <c r="D19" s="54">
        <f>$D$17*SQRT($C$12)</f>
        <v>0.16604067152354055</v>
      </c>
      <c r="E19" s="46" t="s">
        <v>355</v>
      </c>
      <c r="G19" s="56">
        <v>45576</v>
      </c>
      <c r="H19" s="57">
        <v>461.84210000000002</v>
      </c>
      <c r="I19" s="58">
        <f t="shared" si="0"/>
        <v>-7.8550963716126562E-3</v>
      </c>
    </row>
    <row r="20" spans="1:9" ht="30" customHeight="1" x14ac:dyDescent="0.25">
      <c r="A20" s="16" t="s">
        <v>356</v>
      </c>
      <c r="B20" s="25" t="s">
        <v>275</v>
      </c>
      <c r="C20" s="44" t="s">
        <v>276</v>
      </c>
      <c r="D20" s="45">
        <f>(LN($C$9/$C$10)+($D$18-$D$19^2/2)*$C$11)/($D$19*SQRT($C$11))</f>
        <v>-1.9208331187055099</v>
      </c>
      <c r="E20" s="46" t="s">
        <v>357</v>
      </c>
      <c r="G20" s="56">
        <v>45579</v>
      </c>
      <c r="H20" s="57">
        <v>470.11970000000002</v>
      </c>
      <c r="I20" s="58">
        <f t="shared" si="0"/>
        <v>1.7764285357890906E-2</v>
      </c>
    </row>
    <row r="21" spans="1:9" ht="30" customHeight="1" x14ac:dyDescent="0.25">
      <c r="A21" s="25" t="s">
        <v>358</v>
      </c>
      <c r="B21" s="25" t="s">
        <v>279</v>
      </c>
      <c r="C21" s="44" t="s">
        <v>359</v>
      </c>
      <c r="D21" s="47">
        <f>NORMSDIST($D$20)</f>
        <v>2.7376374857468435E-2</v>
      </c>
      <c r="E21" s="46" t="s">
        <v>360</v>
      </c>
      <c r="G21" s="56">
        <v>45580</v>
      </c>
      <c r="H21" s="57">
        <v>471.63330000000002</v>
      </c>
      <c r="I21" s="58">
        <f t="shared" si="0"/>
        <v>3.2144337279161432E-3</v>
      </c>
    </row>
    <row r="22" spans="1:9" x14ac:dyDescent="0.2">
      <c r="G22" s="56">
        <v>45581</v>
      </c>
      <c r="H22" s="57">
        <v>466.57209999999998</v>
      </c>
      <c r="I22" s="58">
        <f t="shared" si="0"/>
        <v>-1.0789213314162219E-2</v>
      </c>
    </row>
    <row r="23" spans="1:9" ht="33.75" customHeight="1" x14ac:dyDescent="0.2">
      <c r="A23" s="94" t="str">
        <f>"Historical μ = "&amp;TEXT($D$18,"0.0%")&amp;", σ = "&amp;TEXT($D$19,"0.0%")&amp;"  →  Prob(ITC &gt; ₹"&amp;TEXT($C$10,"0")&amp;" in 1 year) = "&amp;TEXT($D$21,"0.00%")</f>
        <v>Historical μ = -19.5%, σ = 16.6%  →  Prob(ITC &gt; ₹450 in 1 year) = 2.74%</v>
      </c>
      <c r="B23" s="94"/>
      <c r="C23" s="94"/>
      <c r="D23" s="94"/>
      <c r="E23" s="94"/>
      <c r="G23" s="56">
        <v>45582</v>
      </c>
      <c r="H23" s="57">
        <v>462.5043</v>
      </c>
      <c r="I23" s="58">
        <f t="shared" si="0"/>
        <v>-8.7567093367018432E-3</v>
      </c>
    </row>
    <row r="24" spans="1:9" x14ac:dyDescent="0.2">
      <c r="G24" s="56">
        <v>45583</v>
      </c>
      <c r="H24" s="57">
        <v>460.42309999999998</v>
      </c>
      <c r="I24" s="58">
        <f t="shared" si="0"/>
        <v>-4.5100048555450018E-3</v>
      </c>
    </row>
    <row r="25" spans="1:9" ht="34.5" customHeight="1" x14ac:dyDescent="0.2">
      <c r="A25" s="6" t="s">
        <v>361</v>
      </c>
      <c r="B25" s="6"/>
      <c r="C25" s="6"/>
      <c r="D25" s="6"/>
      <c r="E25" s="6"/>
      <c r="G25" s="56">
        <v>45586</v>
      </c>
      <c r="H25" s="57">
        <v>457.53769999999997</v>
      </c>
      <c r="I25" s="58">
        <f t="shared" si="0"/>
        <v>-6.2865636589056403E-3</v>
      </c>
    </row>
    <row r="26" spans="1:9" ht="34.5" customHeight="1" x14ac:dyDescent="0.2">
      <c r="A26" s="6"/>
      <c r="B26" s="6"/>
      <c r="C26" s="6"/>
      <c r="D26" s="6"/>
      <c r="E26" s="6"/>
      <c r="G26" s="56">
        <v>45587</v>
      </c>
      <c r="H26" s="57">
        <v>455.7876</v>
      </c>
      <c r="I26" s="58">
        <f t="shared" si="0"/>
        <v>-3.832374165019655E-3</v>
      </c>
    </row>
    <row r="27" spans="1:9" x14ac:dyDescent="0.2">
      <c r="G27" s="56">
        <v>45588</v>
      </c>
      <c r="H27" s="57">
        <v>454.41590000000002</v>
      </c>
      <c r="I27" s="58">
        <f t="shared" si="0"/>
        <v>-3.014053535140272E-3</v>
      </c>
    </row>
    <row r="28" spans="1:9" x14ac:dyDescent="0.2">
      <c r="G28" s="56">
        <v>45589</v>
      </c>
      <c r="H28" s="57">
        <v>446.23289999999997</v>
      </c>
      <c r="I28" s="58">
        <f t="shared" si="0"/>
        <v>-1.8171844960033625E-2</v>
      </c>
    </row>
    <row r="29" spans="1:9" x14ac:dyDescent="0.2">
      <c r="G29" s="56">
        <v>45590</v>
      </c>
      <c r="H29" s="57">
        <v>456.26060000000001</v>
      </c>
      <c r="I29" s="58">
        <f t="shared" si="0"/>
        <v>2.2223124471620937E-2</v>
      </c>
    </row>
    <row r="30" spans="1:9" x14ac:dyDescent="0.2">
      <c r="G30" s="56">
        <v>45593</v>
      </c>
      <c r="H30" s="57">
        <v>458.01069999999999</v>
      </c>
      <c r="I30" s="58">
        <f t="shared" si="0"/>
        <v>3.8284087831676563E-3</v>
      </c>
    </row>
    <row r="31" spans="1:9" x14ac:dyDescent="0.2">
      <c r="G31" s="56">
        <v>45594</v>
      </c>
      <c r="H31" s="57">
        <v>461.60559999999998</v>
      </c>
      <c r="I31" s="58">
        <f t="shared" si="0"/>
        <v>7.8183005493701781E-3</v>
      </c>
    </row>
    <row r="32" spans="1:9" x14ac:dyDescent="0.2">
      <c r="G32" s="56">
        <v>45595</v>
      </c>
      <c r="H32" s="57">
        <v>465.01119999999997</v>
      </c>
      <c r="I32" s="58">
        <f t="shared" si="0"/>
        <v>7.3506444827258054E-3</v>
      </c>
    </row>
    <row r="33" spans="7:9" x14ac:dyDescent="0.2">
      <c r="G33" s="56">
        <v>45596</v>
      </c>
      <c r="H33" s="57">
        <v>462.40969999999999</v>
      </c>
      <c r="I33" s="58">
        <f t="shared" si="0"/>
        <v>-5.6101966720047136E-3</v>
      </c>
    </row>
    <row r="34" spans="7:9" x14ac:dyDescent="0.2">
      <c r="G34" s="56">
        <v>45597</v>
      </c>
      <c r="H34" s="57">
        <v>463.82870000000003</v>
      </c>
      <c r="I34" s="58">
        <f t="shared" si="0"/>
        <v>3.0640083808839299E-3</v>
      </c>
    </row>
    <row r="35" spans="7:9" x14ac:dyDescent="0.2">
      <c r="G35" s="56">
        <v>45600</v>
      </c>
      <c r="H35" s="57">
        <v>458.43639999999999</v>
      </c>
      <c r="I35" s="58">
        <f t="shared" si="0"/>
        <v>-1.1693734147924623E-2</v>
      </c>
    </row>
    <row r="36" spans="7:9" x14ac:dyDescent="0.2">
      <c r="G36" s="56">
        <v>45601</v>
      </c>
      <c r="H36" s="57">
        <v>454.274</v>
      </c>
      <c r="I36" s="58">
        <f t="shared" si="0"/>
        <v>-9.1210286568343731E-3</v>
      </c>
    </row>
    <row r="37" spans="7:9" x14ac:dyDescent="0.2">
      <c r="G37" s="56">
        <v>45602</v>
      </c>
      <c r="H37" s="57">
        <v>455.12540000000001</v>
      </c>
      <c r="I37" s="58">
        <f t="shared" si="0"/>
        <v>1.8724451517217475E-3</v>
      </c>
    </row>
    <row r="38" spans="7:9" x14ac:dyDescent="0.2">
      <c r="G38" s="56">
        <v>45603</v>
      </c>
      <c r="H38" s="57">
        <v>452.09820000000002</v>
      </c>
      <c r="I38" s="58">
        <f t="shared" si="0"/>
        <v>-6.6735725020462874E-3</v>
      </c>
    </row>
    <row r="39" spans="7:9" x14ac:dyDescent="0.2">
      <c r="G39" s="56">
        <v>45604</v>
      </c>
      <c r="H39" s="57">
        <v>452.24009999999998</v>
      </c>
      <c r="I39" s="58">
        <f t="shared" si="0"/>
        <v>3.1382061594555609E-4</v>
      </c>
    </row>
    <row r="40" spans="7:9" x14ac:dyDescent="0.2">
      <c r="G40" s="56">
        <v>45607</v>
      </c>
      <c r="H40" s="57">
        <v>451.1995</v>
      </c>
      <c r="I40" s="58">
        <f t="shared" si="0"/>
        <v>-2.3036414613324548E-3</v>
      </c>
    </row>
    <row r="41" spans="7:9" x14ac:dyDescent="0.2">
      <c r="G41" s="56">
        <v>45608</v>
      </c>
      <c r="H41" s="57">
        <v>447.32080000000002</v>
      </c>
      <c r="I41" s="58">
        <f t="shared" si="0"/>
        <v>-8.6335814399531308E-3</v>
      </c>
    </row>
    <row r="42" spans="7:9" x14ac:dyDescent="0.2">
      <c r="G42" s="56">
        <v>45609</v>
      </c>
      <c r="H42" s="57">
        <v>446.70589999999999</v>
      </c>
      <c r="I42" s="58">
        <f t="shared" si="0"/>
        <v>-1.3755743468506E-3</v>
      </c>
    </row>
    <row r="43" spans="7:9" x14ac:dyDescent="0.2">
      <c r="G43" s="56">
        <v>45610</v>
      </c>
      <c r="H43" s="57">
        <v>440.79340000000002</v>
      </c>
      <c r="I43" s="58">
        <f t="shared" si="0"/>
        <v>-1.332415129056091E-2</v>
      </c>
    </row>
    <row r="44" spans="7:9" x14ac:dyDescent="0.2">
      <c r="G44" s="56">
        <v>45614</v>
      </c>
      <c r="H44" s="57">
        <v>441.36099999999999</v>
      </c>
      <c r="I44" s="58">
        <f t="shared" si="0"/>
        <v>1.2868497358919601E-3</v>
      </c>
    </row>
    <row r="45" spans="7:9" x14ac:dyDescent="0.2">
      <c r="G45" s="56">
        <v>45615</v>
      </c>
      <c r="H45" s="57">
        <v>442.11779999999999</v>
      </c>
      <c r="I45" s="58">
        <f t="shared" si="0"/>
        <v>1.7132277200314532E-3</v>
      </c>
    </row>
    <row r="46" spans="7:9" x14ac:dyDescent="0.2">
      <c r="G46" s="56">
        <v>45617</v>
      </c>
      <c r="H46" s="57">
        <v>432.46850000000001</v>
      </c>
      <c r="I46" s="58">
        <f t="shared" si="0"/>
        <v>-2.2066871056179483E-2</v>
      </c>
    </row>
    <row r="47" spans="7:9" x14ac:dyDescent="0.2">
      <c r="G47" s="56">
        <v>45618</v>
      </c>
      <c r="H47" s="57">
        <v>449.02359999999999</v>
      </c>
      <c r="I47" s="58">
        <f t="shared" si="0"/>
        <v>3.7565956258590397E-2</v>
      </c>
    </row>
    <row r="48" spans="7:9" x14ac:dyDescent="0.2">
      <c r="G48" s="56">
        <v>45621</v>
      </c>
      <c r="H48" s="57">
        <v>451.05759999999998</v>
      </c>
      <c r="I48" s="58">
        <f t="shared" si="0"/>
        <v>4.5195999257369871E-3</v>
      </c>
    </row>
    <row r="49" spans="7:9" x14ac:dyDescent="0.2">
      <c r="G49" s="56">
        <v>45622</v>
      </c>
      <c r="H49" s="57">
        <v>451.24680000000001</v>
      </c>
      <c r="I49" s="58">
        <f t="shared" si="0"/>
        <v>4.1937067529074977E-4</v>
      </c>
    </row>
    <row r="50" spans="7:9" x14ac:dyDescent="0.2">
      <c r="G50" s="56">
        <v>45623</v>
      </c>
      <c r="H50" s="57">
        <v>451.1995</v>
      </c>
      <c r="I50" s="58">
        <f t="shared" si="0"/>
        <v>-1.0482618199740693E-4</v>
      </c>
    </row>
    <row r="51" spans="7:9" x14ac:dyDescent="0.2">
      <c r="G51" s="56">
        <v>45624</v>
      </c>
      <c r="H51" s="57">
        <v>449.26010000000002</v>
      </c>
      <c r="I51" s="58">
        <f t="shared" si="0"/>
        <v>-4.3075847019511679E-3</v>
      </c>
    </row>
    <row r="52" spans="7:9" x14ac:dyDescent="0.2">
      <c r="G52" s="56">
        <v>45625</v>
      </c>
      <c r="H52" s="57">
        <v>451.01029999999997</v>
      </c>
      <c r="I52" s="58">
        <f t="shared" si="0"/>
        <v>3.8881700541085499E-3</v>
      </c>
    </row>
    <row r="53" spans="7:9" x14ac:dyDescent="0.2">
      <c r="G53" s="56">
        <v>45628</v>
      </c>
      <c r="H53" s="57">
        <v>451.43599999999998</v>
      </c>
      <c r="I53" s="58">
        <f t="shared" si="0"/>
        <v>9.4343570708920886E-4</v>
      </c>
    </row>
    <row r="54" spans="7:9" x14ac:dyDescent="0.2">
      <c r="G54" s="56">
        <v>45629</v>
      </c>
      <c r="H54" s="57">
        <v>447.03699999999998</v>
      </c>
      <c r="I54" s="58">
        <f t="shared" si="0"/>
        <v>-9.7922478492503233E-3</v>
      </c>
    </row>
    <row r="55" spans="7:9" x14ac:dyDescent="0.2">
      <c r="G55" s="56">
        <v>45630</v>
      </c>
      <c r="H55" s="57">
        <v>441.88130000000001</v>
      </c>
      <c r="I55" s="58">
        <f t="shared" si="0"/>
        <v>-1.1600071262259575E-2</v>
      </c>
    </row>
    <row r="56" spans="7:9" x14ac:dyDescent="0.2">
      <c r="G56" s="56">
        <v>45631</v>
      </c>
      <c r="H56" s="57">
        <v>442.25970000000001</v>
      </c>
      <c r="I56" s="58">
        <f t="shared" si="0"/>
        <v>8.5597212006712029E-4</v>
      </c>
    </row>
    <row r="57" spans="7:9" x14ac:dyDescent="0.2">
      <c r="G57" s="56">
        <v>45632</v>
      </c>
      <c r="H57" s="57">
        <v>445.71260000000001</v>
      </c>
      <c r="I57" s="58">
        <f t="shared" si="0"/>
        <v>7.7770835947701131E-3</v>
      </c>
    </row>
    <row r="58" spans="7:9" x14ac:dyDescent="0.2">
      <c r="G58" s="56">
        <v>45635</v>
      </c>
      <c r="H58" s="57">
        <v>439.84730000000002</v>
      </c>
      <c r="I58" s="58">
        <f t="shared" si="0"/>
        <v>-1.3246728466229507E-2</v>
      </c>
    </row>
    <row r="59" spans="7:9" x14ac:dyDescent="0.2">
      <c r="G59" s="56">
        <v>45636</v>
      </c>
      <c r="H59" s="57">
        <v>440.32040000000001</v>
      </c>
      <c r="I59" s="58">
        <f t="shared" si="0"/>
        <v>1.075022511192836E-3</v>
      </c>
    </row>
    <row r="60" spans="7:9" x14ac:dyDescent="0.2">
      <c r="G60" s="56">
        <v>45637</v>
      </c>
      <c r="H60" s="57">
        <v>440.13119999999998</v>
      </c>
      <c r="I60" s="58">
        <f t="shared" si="0"/>
        <v>-4.2977945161844434E-4</v>
      </c>
    </row>
    <row r="61" spans="7:9" x14ac:dyDescent="0.2">
      <c r="G61" s="56">
        <v>45638</v>
      </c>
      <c r="H61" s="57">
        <v>435.73219999999998</v>
      </c>
      <c r="I61" s="58">
        <f t="shared" si="0"/>
        <v>-1.0045029828071669E-2</v>
      </c>
    </row>
    <row r="62" spans="7:9" x14ac:dyDescent="0.2">
      <c r="G62" s="56">
        <v>45639</v>
      </c>
      <c r="H62" s="57">
        <v>444.62470000000002</v>
      </c>
      <c r="I62" s="58">
        <f t="shared" si="0"/>
        <v>2.0202721087445114E-2</v>
      </c>
    </row>
    <row r="63" spans="7:9" x14ac:dyDescent="0.2">
      <c r="G63" s="56">
        <v>45642</v>
      </c>
      <c r="H63" s="57">
        <v>444.71929999999998</v>
      </c>
      <c r="I63" s="58">
        <f t="shared" si="0"/>
        <v>2.127410773710573E-4</v>
      </c>
    </row>
    <row r="64" spans="7:9" x14ac:dyDescent="0.2">
      <c r="G64" s="56">
        <v>45643</v>
      </c>
      <c r="H64" s="57">
        <v>444.19900000000001</v>
      </c>
      <c r="I64" s="58">
        <f t="shared" si="0"/>
        <v>-1.170636400258047E-3</v>
      </c>
    </row>
    <row r="65" spans="7:9" x14ac:dyDescent="0.2">
      <c r="G65" s="56">
        <v>45644</v>
      </c>
      <c r="H65" s="57">
        <v>445.09769999999997</v>
      </c>
      <c r="I65" s="58">
        <f t="shared" si="0"/>
        <v>2.0211484107282162E-3</v>
      </c>
    </row>
    <row r="66" spans="7:9" x14ac:dyDescent="0.2">
      <c r="G66" s="56">
        <v>45645</v>
      </c>
      <c r="H66" s="57">
        <v>441.36099999999999</v>
      </c>
      <c r="I66" s="58">
        <f t="shared" si="0"/>
        <v>-8.4306739446063147E-3</v>
      </c>
    </row>
    <row r="67" spans="7:9" x14ac:dyDescent="0.2">
      <c r="G67" s="56">
        <v>45646</v>
      </c>
      <c r="H67" s="57">
        <v>439.56349999999998</v>
      </c>
      <c r="I67" s="58">
        <f t="shared" si="0"/>
        <v>-4.0809456307487873E-3</v>
      </c>
    </row>
    <row r="68" spans="7:9" x14ac:dyDescent="0.2">
      <c r="G68" s="56">
        <v>45649</v>
      </c>
      <c r="H68" s="57">
        <v>448.64519999999999</v>
      </c>
      <c r="I68" s="58">
        <f t="shared" si="0"/>
        <v>2.045018586889381E-2</v>
      </c>
    </row>
    <row r="69" spans="7:9" x14ac:dyDescent="0.2">
      <c r="G69" s="56">
        <v>45650</v>
      </c>
      <c r="H69" s="57">
        <v>452.61849999999998</v>
      </c>
      <c r="I69" s="58">
        <f t="shared" si="0"/>
        <v>8.8172323849638641E-3</v>
      </c>
    </row>
    <row r="70" spans="7:9" x14ac:dyDescent="0.2">
      <c r="G70" s="56">
        <v>45652</v>
      </c>
      <c r="H70" s="57">
        <v>451.1995</v>
      </c>
      <c r="I70" s="58">
        <f t="shared" si="0"/>
        <v>-3.1400152816360139E-3</v>
      </c>
    </row>
    <row r="71" spans="7:9" x14ac:dyDescent="0.2">
      <c r="G71" s="56">
        <v>45653</v>
      </c>
      <c r="H71" s="57">
        <v>452.7604</v>
      </c>
      <c r="I71" s="58">
        <f t="shared" ref="I71:I134" si="1">LN(H71/H70)</f>
        <v>3.4534752068935341E-3</v>
      </c>
    </row>
    <row r="72" spans="7:9" x14ac:dyDescent="0.2">
      <c r="G72" s="56">
        <v>45656</v>
      </c>
      <c r="H72" s="57">
        <v>451.24680000000001</v>
      </c>
      <c r="I72" s="58">
        <f t="shared" si="1"/>
        <v>-3.3486490248961984E-3</v>
      </c>
    </row>
    <row r="73" spans="7:9" x14ac:dyDescent="0.2">
      <c r="G73" s="56">
        <v>45657</v>
      </c>
      <c r="H73" s="57">
        <v>457.53769999999997</v>
      </c>
      <c r="I73" s="58">
        <f t="shared" si="1"/>
        <v>1.384486748290277E-2</v>
      </c>
    </row>
    <row r="74" spans="7:9" x14ac:dyDescent="0.2">
      <c r="G74" s="56">
        <v>45658</v>
      </c>
      <c r="H74" s="57">
        <v>457.82150000000001</v>
      </c>
      <c r="I74" s="58">
        <f t="shared" si="1"/>
        <v>6.2008446322177389E-4</v>
      </c>
    </row>
    <row r="75" spans="7:9" x14ac:dyDescent="0.2">
      <c r="G75" s="56">
        <v>45659</v>
      </c>
      <c r="H75" s="57">
        <v>462.64620000000002</v>
      </c>
      <c r="I75" s="58">
        <f t="shared" si="1"/>
        <v>1.0483244953617708E-2</v>
      </c>
    </row>
    <row r="76" spans="7:9" x14ac:dyDescent="0.2">
      <c r="G76" s="56">
        <v>45660</v>
      </c>
      <c r="H76" s="57">
        <v>455.59840000000003</v>
      </c>
      <c r="I76" s="58">
        <f t="shared" si="1"/>
        <v>-1.5350895394588168E-2</v>
      </c>
    </row>
    <row r="77" spans="7:9" x14ac:dyDescent="0.2">
      <c r="G77" s="56">
        <v>45663</v>
      </c>
      <c r="H77" s="57">
        <v>442.65</v>
      </c>
      <c r="I77" s="58">
        <f t="shared" si="1"/>
        <v>-2.8832329657300336E-2</v>
      </c>
    </row>
    <row r="78" spans="7:9" x14ac:dyDescent="0.2">
      <c r="G78" s="56">
        <v>45664</v>
      </c>
      <c r="H78" s="57">
        <v>441.1</v>
      </c>
      <c r="I78" s="58">
        <f t="shared" si="1"/>
        <v>-3.5077829461639962E-3</v>
      </c>
    </row>
    <row r="79" spans="7:9" x14ac:dyDescent="0.2">
      <c r="G79" s="56">
        <v>45665</v>
      </c>
      <c r="H79" s="57">
        <v>449.55</v>
      </c>
      <c r="I79" s="58">
        <f t="shared" si="1"/>
        <v>1.8975475319887827E-2</v>
      </c>
    </row>
    <row r="80" spans="7:9" x14ac:dyDescent="0.2">
      <c r="G80" s="56">
        <v>45666</v>
      </c>
      <c r="H80" s="57">
        <v>450.1</v>
      </c>
      <c r="I80" s="58">
        <f t="shared" si="1"/>
        <v>1.22269786810511E-3</v>
      </c>
    </row>
    <row r="81" spans="7:9" x14ac:dyDescent="0.2">
      <c r="G81" s="56">
        <v>45667</v>
      </c>
      <c r="H81" s="57">
        <v>444.9</v>
      </c>
      <c r="I81" s="58">
        <f t="shared" si="1"/>
        <v>-1.1620242486891062E-2</v>
      </c>
    </row>
    <row r="82" spans="7:9" x14ac:dyDescent="0.2">
      <c r="G82" s="56">
        <v>45670</v>
      </c>
      <c r="H82" s="57">
        <v>439.05</v>
      </c>
      <c r="I82" s="58">
        <f t="shared" si="1"/>
        <v>-1.323623600599144E-2</v>
      </c>
    </row>
    <row r="83" spans="7:9" x14ac:dyDescent="0.2">
      <c r="G83" s="56">
        <v>45671</v>
      </c>
      <c r="H83" s="57">
        <v>436.6</v>
      </c>
      <c r="I83" s="58">
        <f t="shared" si="1"/>
        <v>-5.5958576901609649E-3</v>
      </c>
    </row>
    <row r="84" spans="7:9" x14ac:dyDescent="0.2">
      <c r="G84" s="56">
        <v>45672</v>
      </c>
      <c r="H84" s="57">
        <v>437.35</v>
      </c>
      <c r="I84" s="58">
        <f t="shared" si="1"/>
        <v>1.7163457500203299E-3</v>
      </c>
    </row>
    <row r="85" spans="7:9" x14ac:dyDescent="0.2">
      <c r="G85" s="56">
        <v>45673</v>
      </c>
      <c r="H85" s="57">
        <v>432.85</v>
      </c>
      <c r="I85" s="58">
        <f t="shared" si="1"/>
        <v>-1.0342542204081182E-2</v>
      </c>
    </row>
    <row r="86" spans="7:9" x14ac:dyDescent="0.2">
      <c r="G86" s="56">
        <v>45674</v>
      </c>
      <c r="H86" s="57">
        <v>440.2</v>
      </c>
      <c r="I86" s="58">
        <f t="shared" si="1"/>
        <v>1.6837921430578467E-2</v>
      </c>
    </row>
    <row r="87" spans="7:9" x14ac:dyDescent="0.2">
      <c r="G87" s="56">
        <v>45677</v>
      </c>
      <c r="H87" s="57">
        <v>437.7</v>
      </c>
      <c r="I87" s="58">
        <f t="shared" si="1"/>
        <v>-5.6954248955116641E-3</v>
      </c>
    </row>
    <row r="88" spans="7:9" x14ac:dyDescent="0.2">
      <c r="G88" s="56">
        <v>45678</v>
      </c>
      <c r="H88" s="57">
        <v>437.55</v>
      </c>
      <c r="I88" s="58">
        <f t="shared" si="1"/>
        <v>-3.4275921500944269E-4</v>
      </c>
    </row>
    <row r="89" spans="7:9" x14ac:dyDescent="0.2">
      <c r="G89" s="56">
        <v>45679</v>
      </c>
      <c r="H89" s="57">
        <v>437</v>
      </c>
      <c r="I89" s="58">
        <f t="shared" si="1"/>
        <v>-1.2577898862500276E-3</v>
      </c>
    </row>
    <row r="90" spans="7:9" x14ac:dyDescent="0.2">
      <c r="G90" s="56">
        <v>45680</v>
      </c>
      <c r="H90" s="57">
        <v>440.2</v>
      </c>
      <c r="I90" s="58">
        <f t="shared" si="1"/>
        <v>7.2959739967710302E-3</v>
      </c>
    </row>
    <row r="91" spans="7:9" x14ac:dyDescent="0.2">
      <c r="G91" s="56">
        <v>45681</v>
      </c>
      <c r="H91" s="57">
        <v>441.6</v>
      </c>
      <c r="I91" s="58">
        <f t="shared" si="1"/>
        <v>3.1753258705242934E-3</v>
      </c>
    </row>
    <row r="92" spans="7:9" x14ac:dyDescent="0.2">
      <c r="G92" s="56">
        <v>45684</v>
      </c>
      <c r="H92" s="57">
        <v>440.1</v>
      </c>
      <c r="I92" s="58">
        <f t="shared" si="1"/>
        <v>-3.4025211458398597E-3</v>
      </c>
    </row>
    <row r="93" spans="7:9" x14ac:dyDescent="0.2">
      <c r="G93" s="56">
        <v>45685</v>
      </c>
      <c r="H93" s="57">
        <v>435.45</v>
      </c>
      <c r="I93" s="58">
        <f t="shared" si="1"/>
        <v>-1.0621994678297235E-2</v>
      </c>
    </row>
    <row r="94" spans="7:9" x14ac:dyDescent="0.2">
      <c r="G94" s="56">
        <v>45686</v>
      </c>
      <c r="H94" s="57">
        <v>433.35</v>
      </c>
      <c r="I94" s="58">
        <f t="shared" si="1"/>
        <v>-4.8342635583945781E-3</v>
      </c>
    </row>
    <row r="95" spans="7:9" x14ac:dyDescent="0.2">
      <c r="G95" s="56">
        <v>45687</v>
      </c>
      <c r="H95" s="57">
        <v>436.2</v>
      </c>
      <c r="I95" s="58">
        <f t="shared" si="1"/>
        <v>6.5551381871745791E-3</v>
      </c>
    </row>
    <row r="96" spans="7:9" x14ac:dyDescent="0.2">
      <c r="G96" s="56">
        <v>45688</v>
      </c>
      <c r="H96" s="57">
        <v>447.5</v>
      </c>
      <c r="I96" s="58">
        <f t="shared" si="1"/>
        <v>2.5575683947381432E-2</v>
      </c>
    </row>
    <row r="97" spans="7:9" x14ac:dyDescent="0.2">
      <c r="G97" s="56">
        <v>45689</v>
      </c>
      <c r="H97" s="57">
        <v>462.55</v>
      </c>
      <c r="I97" s="58">
        <f t="shared" si="1"/>
        <v>3.3078121502417471E-2</v>
      </c>
    </row>
    <row r="98" spans="7:9" x14ac:dyDescent="0.2">
      <c r="G98" s="56">
        <v>45691</v>
      </c>
      <c r="H98" s="57">
        <v>454.35</v>
      </c>
      <c r="I98" s="58">
        <f t="shared" si="1"/>
        <v>-1.7886833075971605E-2</v>
      </c>
    </row>
    <row r="99" spans="7:9" x14ac:dyDescent="0.2">
      <c r="G99" s="56">
        <v>45692</v>
      </c>
      <c r="H99" s="57">
        <v>455.15</v>
      </c>
      <c r="I99" s="58">
        <f t="shared" si="1"/>
        <v>1.7592088099415873E-3</v>
      </c>
    </row>
    <row r="100" spans="7:9" x14ac:dyDescent="0.2">
      <c r="G100" s="56">
        <v>45693</v>
      </c>
      <c r="H100" s="57">
        <v>448.15</v>
      </c>
      <c r="I100" s="58">
        <f t="shared" si="1"/>
        <v>-1.5499037147927084E-2</v>
      </c>
    </row>
    <row r="101" spans="7:9" x14ac:dyDescent="0.2">
      <c r="G101" s="56">
        <v>45694</v>
      </c>
      <c r="H101" s="57">
        <v>441.1</v>
      </c>
      <c r="I101" s="58">
        <f t="shared" si="1"/>
        <v>-1.5856390692476536E-2</v>
      </c>
    </row>
    <row r="102" spans="7:9" x14ac:dyDescent="0.2">
      <c r="G102" s="56">
        <v>45695</v>
      </c>
      <c r="H102" s="57">
        <v>430.85</v>
      </c>
      <c r="I102" s="58">
        <f t="shared" si="1"/>
        <v>-2.3511605425118175E-2</v>
      </c>
    </row>
    <row r="103" spans="7:9" x14ac:dyDescent="0.2">
      <c r="G103" s="56">
        <v>45698</v>
      </c>
      <c r="H103" s="57">
        <v>427.2</v>
      </c>
      <c r="I103" s="58">
        <f t="shared" si="1"/>
        <v>-8.5077140397907883E-3</v>
      </c>
    </row>
    <row r="104" spans="7:9" x14ac:dyDescent="0.2">
      <c r="G104" s="56">
        <v>45699</v>
      </c>
      <c r="H104" s="57">
        <v>418.3</v>
      </c>
      <c r="I104" s="58">
        <f t="shared" si="1"/>
        <v>-2.1053409197832267E-2</v>
      </c>
    </row>
    <row r="105" spans="7:9" x14ac:dyDescent="0.2">
      <c r="G105" s="56">
        <v>45700</v>
      </c>
      <c r="H105" s="57">
        <v>409.9</v>
      </c>
      <c r="I105" s="58">
        <f t="shared" si="1"/>
        <v>-2.0285650937860986E-2</v>
      </c>
    </row>
    <row r="106" spans="7:9" x14ac:dyDescent="0.2">
      <c r="G106" s="56">
        <v>45701</v>
      </c>
      <c r="H106" s="57">
        <v>409.7</v>
      </c>
      <c r="I106" s="58">
        <f t="shared" si="1"/>
        <v>-4.8804295746645535E-4</v>
      </c>
    </row>
    <row r="107" spans="7:9" x14ac:dyDescent="0.2">
      <c r="G107" s="56">
        <v>45702</v>
      </c>
      <c r="H107" s="57">
        <v>410.25</v>
      </c>
      <c r="I107" s="58">
        <f t="shared" si="1"/>
        <v>1.3415454173748818E-3</v>
      </c>
    </row>
    <row r="108" spans="7:9" x14ac:dyDescent="0.2">
      <c r="G108" s="56">
        <v>45705</v>
      </c>
      <c r="H108" s="57">
        <v>408.6</v>
      </c>
      <c r="I108" s="58">
        <f t="shared" si="1"/>
        <v>-4.0300475866785123E-3</v>
      </c>
    </row>
    <row r="109" spans="7:9" x14ac:dyDescent="0.2">
      <c r="G109" s="56">
        <v>45706</v>
      </c>
      <c r="H109" s="57">
        <v>405.25</v>
      </c>
      <c r="I109" s="58">
        <f t="shared" si="1"/>
        <v>-8.2325217677362457E-3</v>
      </c>
    </row>
    <row r="110" spans="7:9" x14ac:dyDescent="0.2">
      <c r="G110" s="56">
        <v>45707</v>
      </c>
      <c r="H110" s="57">
        <v>406.4</v>
      </c>
      <c r="I110" s="58">
        <f t="shared" si="1"/>
        <v>2.8337356484865912E-3</v>
      </c>
    </row>
    <row r="111" spans="7:9" x14ac:dyDescent="0.2">
      <c r="G111" s="56">
        <v>45708</v>
      </c>
      <c r="H111" s="57">
        <v>402.05</v>
      </c>
      <c r="I111" s="58">
        <f t="shared" si="1"/>
        <v>-1.0761437270113978E-2</v>
      </c>
    </row>
    <row r="112" spans="7:9" x14ac:dyDescent="0.2">
      <c r="G112" s="56">
        <v>45709</v>
      </c>
      <c r="H112" s="57">
        <v>400.9</v>
      </c>
      <c r="I112" s="58">
        <f t="shared" si="1"/>
        <v>-2.8644393456969002E-3</v>
      </c>
    </row>
    <row r="113" spans="7:9" x14ac:dyDescent="0.2">
      <c r="G113" s="56">
        <v>45712</v>
      </c>
      <c r="H113" s="57">
        <v>401.9</v>
      </c>
      <c r="I113" s="58">
        <f t="shared" si="1"/>
        <v>2.4912818066941673E-3</v>
      </c>
    </row>
    <row r="114" spans="7:9" x14ac:dyDescent="0.2">
      <c r="G114" s="56">
        <v>45713</v>
      </c>
      <c r="H114" s="57">
        <v>404.85</v>
      </c>
      <c r="I114" s="58">
        <f t="shared" si="1"/>
        <v>7.3133266769679914E-3</v>
      </c>
    </row>
    <row r="115" spans="7:9" x14ac:dyDescent="0.2">
      <c r="G115" s="56">
        <v>45715</v>
      </c>
      <c r="H115" s="57">
        <v>401.6</v>
      </c>
      <c r="I115" s="58">
        <f t="shared" si="1"/>
        <v>-8.0600597546039588E-3</v>
      </c>
    </row>
    <row r="116" spans="7:9" x14ac:dyDescent="0.2">
      <c r="G116" s="56">
        <v>45716</v>
      </c>
      <c r="H116" s="57">
        <v>395</v>
      </c>
      <c r="I116" s="58">
        <f t="shared" si="1"/>
        <v>-1.657080347639767E-2</v>
      </c>
    </row>
    <row r="117" spans="7:9" x14ac:dyDescent="0.2">
      <c r="G117" s="56">
        <v>45719</v>
      </c>
      <c r="H117" s="57">
        <v>397.45</v>
      </c>
      <c r="I117" s="58">
        <f t="shared" si="1"/>
        <v>6.1833751179997658E-3</v>
      </c>
    </row>
    <row r="118" spans="7:9" x14ac:dyDescent="0.2">
      <c r="G118" s="56">
        <v>45720</v>
      </c>
      <c r="H118" s="57">
        <v>394.85</v>
      </c>
      <c r="I118" s="58">
        <f t="shared" si="1"/>
        <v>-6.5631940755316136E-3</v>
      </c>
    </row>
    <row r="119" spans="7:9" x14ac:dyDescent="0.2">
      <c r="G119" s="56">
        <v>45721</v>
      </c>
      <c r="H119" s="57">
        <v>405.05</v>
      </c>
      <c r="I119" s="58">
        <f t="shared" si="1"/>
        <v>2.5504570332910294E-2</v>
      </c>
    </row>
    <row r="120" spans="7:9" x14ac:dyDescent="0.2">
      <c r="G120" s="56">
        <v>45722</v>
      </c>
      <c r="H120" s="57">
        <v>405.7</v>
      </c>
      <c r="I120" s="58">
        <f t="shared" si="1"/>
        <v>1.6034539359013006E-3</v>
      </c>
    </row>
    <row r="121" spans="7:9" x14ac:dyDescent="0.2">
      <c r="G121" s="56">
        <v>45723</v>
      </c>
      <c r="H121" s="57">
        <v>403.9</v>
      </c>
      <c r="I121" s="58">
        <f t="shared" si="1"/>
        <v>-4.4466476430343651E-3</v>
      </c>
    </row>
    <row r="122" spans="7:9" x14ac:dyDescent="0.2">
      <c r="G122" s="56">
        <v>45726</v>
      </c>
      <c r="H122" s="57">
        <v>405</v>
      </c>
      <c r="I122" s="58">
        <f t="shared" si="1"/>
        <v>2.7197445371721246E-3</v>
      </c>
    </row>
    <row r="123" spans="7:9" x14ac:dyDescent="0.2">
      <c r="G123" s="56">
        <v>45727</v>
      </c>
      <c r="H123" s="57">
        <v>406.2</v>
      </c>
      <c r="I123" s="58">
        <f t="shared" si="1"/>
        <v>2.9585820397450414E-3</v>
      </c>
    </row>
    <row r="124" spans="7:9" x14ac:dyDescent="0.2">
      <c r="G124" s="56">
        <v>45728</v>
      </c>
      <c r="H124" s="57">
        <v>412.4</v>
      </c>
      <c r="I124" s="58">
        <f t="shared" si="1"/>
        <v>1.5148102996520581E-2</v>
      </c>
    </row>
    <row r="125" spans="7:9" x14ac:dyDescent="0.2">
      <c r="G125" s="56">
        <v>45729</v>
      </c>
      <c r="H125" s="57">
        <v>412.05</v>
      </c>
      <c r="I125" s="58">
        <f t="shared" si="1"/>
        <v>-8.4905093341219992E-4</v>
      </c>
    </row>
    <row r="126" spans="7:9" x14ac:dyDescent="0.2">
      <c r="G126" s="56">
        <v>45733</v>
      </c>
      <c r="H126" s="57">
        <v>407.95</v>
      </c>
      <c r="I126" s="58">
        <f t="shared" si="1"/>
        <v>-1.0000083334583422E-2</v>
      </c>
    </row>
    <row r="127" spans="7:9" x14ac:dyDescent="0.2">
      <c r="G127" s="56">
        <v>45734</v>
      </c>
      <c r="H127" s="57">
        <v>409.1</v>
      </c>
      <c r="I127" s="58">
        <f t="shared" si="1"/>
        <v>2.8150070605436578E-3</v>
      </c>
    </row>
    <row r="128" spans="7:9" x14ac:dyDescent="0.2">
      <c r="G128" s="56">
        <v>45735</v>
      </c>
      <c r="H128" s="57">
        <v>403.05</v>
      </c>
      <c r="I128" s="58">
        <f t="shared" si="1"/>
        <v>-1.4899001205742984E-2</v>
      </c>
    </row>
    <row r="129" spans="7:9" x14ac:dyDescent="0.2">
      <c r="G129" s="56">
        <v>45736</v>
      </c>
      <c r="H129" s="57">
        <v>403.95</v>
      </c>
      <c r="I129" s="58">
        <f t="shared" si="1"/>
        <v>2.2304841961075634E-3</v>
      </c>
    </row>
    <row r="130" spans="7:9" x14ac:dyDescent="0.2">
      <c r="G130" s="56">
        <v>45737</v>
      </c>
      <c r="H130" s="57">
        <v>405.55</v>
      </c>
      <c r="I130" s="58">
        <f t="shared" si="1"/>
        <v>3.9530625906361106E-3</v>
      </c>
    </row>
    <row r="131" spans="7:9" x14ac:dyDescent="0.2">
      <c r="G131" s="56">
        <v>45740</v>
      </c>
      <c r="H131" s="57">
        <v>410.9</v>
      </c>
      <c r="I131" s="58">
        <f t="shared" si="1"/>
        <v>1.3105705373010191E-2</v>
      </c>
    </row>
    <row r="132" spans="7:9" x14ac:dyDescent="0.2">
      <c r="G132" s="56">
        <v>45741</v>
      </c>
      <c r="H132" s="57">
        <v>409.8</v>
      </c>
      <c r="I132" s="58">
        <f t="shared" si="1"/>
        <v>-2.6806400845646116E-3</v>
      </c>
    </row>
    <row r="133" spans="7:9" x14ac:dyDescent="0.2">
      <c r="G133" s="56">
        <v>45742</v>
      </c>
      <c r="H133" s="57">
        <v>407.35</v>
      </c>
      <c r="I133" s="58">
        <f t="shared" si="1"/>
        <v>-5.9964690481485918E-3</v>
      </c>
    </row>
    <row r="134" spans="7:9" x14ac:dyDescent="0.2">
      <c r="G134" s="56">
        <v>45743</v>
      </c>
      <c r="H134" s="57">
        <v>409.45</v>
      </c>
      <c r="I134" s="58">
        <f t="shared" si="1"/>
        <v>5.1420289595462887E-3</v>
      </c>
    </row>
    <row r="135" spans="7:9" x14ac:dyDescent="0.2">
      <c r="G135" s="56">
        <v>45744</v>
      </c>
      <c r="H135" s="57">
        <v>409.75</v>
      </c>
      <c r="I135" s="58">
        <f t="shared" ref="I135:I198" si="2">LN(H135/H134)</f>
        <v>7.3242190774179875E-4</v>
      </c>
    </row>
    <row r="136" spans="7:9" x14ac:dyDescent="0.2">
      <c r="G136" s="56">
        <v>45748</v>
      </c>
      <c r="H136" s="57">
        <v>406.65</v>
      </c>
      <c r="I136" s="58">
        <f t="shared" si="2"/>
        <v>-7.5943530111549293E-3</v>
      </c>
    </row>
    <row r="137" spans="7:9" x14ac:dyDescent="0.2">
      <c r="G137" s="56">
        <v>45749</v>
      </c>
      <c r="H137" s="57">
        <v>409.05</v>
      </c>
      <c r="I137" s="58">
        <f t="shared" si="2"/>
        <v>5.8845333469231707E-3</v>
      </c>
    </row>
    <row r="138" spans="7:9" x14ac:dyDescent="0.2">
      <c r="G138" s="56">
        <v>45750</v>
      </c>
      <c r="H138" s="57">
        <v>409.4</v>
      </c>
      <c r="I138" s="58">
        <f t="shared" si="2"/>
        <v>8.5527526748181443E-4</v>
      </c>
    </row>
    <row r="139" spans="7:9" x14ac:dyDescent="0.2">
      <c r="G139" s="56">
        <v>45751</v>
      </c>
      <c r="H139" s="57">
        <v>409.7</v>
      </c>
      <c r="I139" s="58">
        <f t="shared" si="2"/>
        <v>7.3251132563619556E-4</v>
      </c>
    </row>
    <row r="140" spans="7:9" x14ac:dyDescent="0.2">
      <c r="G140" s="56">
        <v>45754</v>
      </c>
      <c r="H140" s="57">
        <v>406.05</v>
      </c>
      <c r="I140" s="58">
        <f t="shared" si="2"/>
        <v>-8.9488798244054795E-3</v>
      </c>
    </row>
    <row r="141" spans="7:9" x14ac:dyDescent="0.2">
      <c r="G141" s="56">
        <v>45755</v>
      </c>
      <c r="H141" s="57">
        <v>412.55</v>
      </c>
      <c r="I141" s="58">
        <f t="shared" si="2"/>
        <v>1.5881105821932293E-2</v>
      </c>
    </row>
    <row r="142" spans="7:9" x14ac:dyDescent="0.2">
      <c r="G142" s="56">
        <v>45756</v>
      </c>
      <c r="H142" s="57">
        <v>416.3</v>
      </c>
      <c r="I142" s="58">
        <f t="shared" si="2"/>
        <v>9.0487436505774389E-3</v>
      </c>
    </row>
    <row r="143" spans="7:9" x14ac:dyDescent="0.2">
      <c r="G143" s="56">
        <v>45758</v>
      </c>
      <c r="H143" s="57">
        <v>421.55</v>
      </c>
      <c r="I143" s="58">
        <f t="shared" si="2"/>
        <v>1.2532240167754878E-2</v>
      </c>
    </row>
    <row r="144" spans="7:9" x14ac:dyDescent="0.2">
      <c r="G144" s="56">
        <v>45762</v>
      </c>
      <c r="H144" s="57">
        <v>420.4</v>
      </c>
      <c r="I144" s="58">
        <f t="shared" si="2"/>
        <v>-2.7317553658886499E-3</v>
      </c>
    </row>
    <row r="145" spans="7:9" x14ac:dyDescent="0.2">
      <c r="G145" s="56">
        <v>45763</v>
      </c>
      <c r="H145" s="57">
        <v>424.45</v>
      </c>
      <c r="I145" s="58">
        <f t="shared" si="2"/>
        <v>9.5875741811806865E-3</v>
      </c>
    </row>
    <row r="146" spans="7:9" x14ac:dyDescent="0.2">
      <c r="G146" s="56">
        <v>45764</v>
      </c>
      <c r="H146" s="57">
        <v>427.25</v>
      </c>
      <c r="I146" s="58">
        <f t="shared" si="2"/>
        <v>6.5751088117235847E-3</v>
      </c>
    </row>
    <row r="147" spans="7:9" x14ac:dyDescent="0.2">
      <c r="G147" s="56">
        <v>45768</v>
      </c>
      <c r="H147" s="57">
        <v>422.85</v>
      </c>
      <c r="I147" s="58">
        <f t="shared" si="2"/>
        <v>-1.0351815767468939E-2</v>
      </c>
    </row>
    <row r="148" spans="7:9" x14ac:dyDescent="0.2">
      <c r="G148" s="56">
        <v>45769</v>
      </c>
      <c r="H148" s="57">
        <v>433.6</v>
      </c>
      <c r="I148" s="58">
        <f t="shared" si="2"/>
        <v>2.5104943897205224E-2</v>
      </c>
    </row>
    <row r="149" spans="7:9" x14ac:dyDescent="0.2">
      <c r="G149" s="56">
        <v>45770</v>
      </c>
      <c r="H149" s="57">
        <v>430.85</v>
      </c>
      <c r="I149" s="58">
        <f t="shared" si="2"/>
        <v>-6.3624484396605802E-3</v>
      </c>
    </row>
    <row r="150" spans="7:9" x14ac:dyDescent="0.2">
      <c r="G150" s="56">
        <v>45771</v>
      </c>
      <c r="H150" s="57">
        <v>430.05</v>
      </c>
      <c r="I150" s="58">
        <f t="shared" si="2"/>
        <v>-1.8585206882873633E-3</v>
      </c>
    </row>
    <row r="151" spans="7:9" x14ac:dyDescent="0.2">
      <c r="G151" s="56">
        <v>45772</v>
      </c>
      <c r="H151" s="57">
        <v>427.8</v>
      </c>
      <c r="I151" s="58">
        <f t="shared" si="2"/>
        <v>-5.2456843491833337E-3</v>
      </c>
    </row>
    <row r="152" spans="7:9" x14ac:dyDescent="0.2">
      <c r="G152" s="56">
        <v>45775</v>
      </c>
      <c r="H152" s="57">
        <v>428.8</v>
      </c>
      <c r="I152" s="58">
        <f t="shared" si="2"/>
        <v>2.3348131082870246E-3</v>
      </c>
    </row>
    <row r="153" spans="7:9" x14ac:dyDescent="0.2">
      <c r="G153" s="56">
        <v>45776</v>
      </c>
      <c r="H153" s="57">
        <v>426</v>
      </c>
      <c r="I153" s="58">
        <f t="shared" si="2"/>
        <v>-6.5512634872218149E-3</v>
      </c>
    </row>
    <row r="154" spans="7:9" x14ac:dyDescent="0.2">
      <c r="G154" s="56">
        <v>45777</v>
      </c>
      <c r="H154" s="57">
        <v>425.8</v>
      </c>
      <c r="I154" s="58">
        <f t="shared" si="2"/>
        <v>-4.6959380999128837E-4</v>
      </c>
    </row>
    <row r="155" spans="7:9" x14ac:dyDescent="0.2">
      <c r="G155" s="56">
        <v>45779</v>
      </c>
      <c r="H155" s="57">
        <v>430.25</v>
      </c>
      <c r="I155" s="58">
        <f t="shared" si="2"/>
        <v>1.0396682632269604E-2</v>
      </c>
    </row>
    <row r="156" spans="7:9" x14ac:dyDescent="0.2">
      <c r="G156" s="56">
        <v>45782</v>
      </c>
      <c r="H156" s="57">
        <v>436.95</v>
      </c>
      <c r="I156" s="58">
        <f t="shared" si="2"/>
        <v>1.545233698190451E-2</v>
      </c>
    </row>
    <row r="157" spans="7:9" x14ac:dyDescent="0.2">
      <c r="G157" s="56">
        <v>45783</v>
      </c>
      <c r="H157" s="57">
        <v>435.55</v>
      </c>
      <c r="I157" s="58">
        <f t="shared" si="2"/>
        <v>-3.2091718086521893E-3</v>
      </c>
    </row>
    <row r="158" spans="7:9" x14ac:dyDescent="0.2">
      <c r="G158" s="56">
        <v>45784</v>
      </c>
      <c r="H158" s="57">
        <v>431.15</v>
      </c>
      <c r="I158" s="58">
        <f t="shared" si="2"/>
        <v>-1.0153542866567623E-2</v>
      </c>
    </row>
    <row r="159" spans="7:9" x14ac:dyDescent="0.2">
      <c r="G159" s="56">
        <v>45785</v>
      </c>
      <c r="H159" s="57">
        <v>430.6</v>
      </c>
      <c r="I159" s="58">
        <f t="shared" si="2"/>
        <v>-1.2764724680706635E-3</v>
      </c>
    </row>
    <row r="160" spans="7:9" x14ac:dyDescent="0.2">
      <c r="G160" s="56">
        <v>45786</v>
      </c>
      <c r="H160" s="57">
        <v>423.55</v>
      </c>
      <c r="I160" s="58">
        <f t="shared" si="2"/>
        <v>-1.6508014052702719E-2</v>
      </c>
    </row>
    <row r="161" spans="7:9" x14ac:dyDescent="0.2">
      <c r="G161" s="56">
        <v>45789</v>
      </c>
      <c r="H161" s="57">
        <v>435.5</v>
      </c>
      <c r="I161" s="58">
        <f t="shared" si="2"/>
        <v>2.7823225414997488E-2</v>
      </c>
    </row>
    <row r="162" spans="7:9" x14ac:dyDescent="0.2">
      <c r="G162" s="56">
        <v>45790</v>
      </c>
      <c r="H162" s="57">
        <v>427.9</v>
      </c>
      <c r="I162" s="58">
        <f t="shared" si="2"/>
        <v>-1.7605272869786394E-2</v>
      </c>
    </row>
    <row r="163" spans="7:9" x14ac:dyDescent="0.2">
      <c r="G163" s="56">
        <v>45791</v>
      </c>
      <c r="H163" s="57">
        <v>429.1</v>
      </c>
      <c r="I163" s="58">
        <f t="shared" si="2"/>
        <v>2.8004685747079557E-3</v>
      </c>
    </row>
    <row r="164" spans="7:9" x14ac:dyDescent="0.2">
      <c r="G164" s="56">
        <v>45792</v>
      </c>
      <c r="H164" s="57">
        <v>432.65</v>
      </c>
      <c r="I164" s="58">
        <f t="shared" si="2"/>
        <v>8.239095055268604E-3</v>
      </c>
    </row>
    <row r="165" spans="7:9" x14ac:dyDescent="0.2">
      <c r="G165" s="56">
        <v>45793</v>
      </c>
      <c r="H165" s="57">
        <v>435.7</v>
      </c>
      <c r="I165" s="58">
        <f t="shared" si="2"/>
        <v>7.0248460706485273E-3</v>
      </c>
    </row>
    <row r="166" spans="7:9" x14ac:dyDescent="0.2">
      <c r="G166" s="56">
        <v>45796</v>
      </c>
      <c r="H166" s="57">
        <v>435.35</v>
      </c>
      <c r="I166" s="58">
        <f t="shared" si="2"/>
        <v>-8.0362784877177097E-4</v>
      </c>
    </row>
    <row r="167" spans="7:9" x14ac:dyDescent="0.2">
      <c r="G167" s="56">
        <v>45797</v>
      </c>
      <c r="H167" s="57">
        <v>434.9</v>
      </c>
      <c r="I167" s="58">
        <f t="shared" si="2"/>
        <v>-1.0341856710319552E-3</v>
      </c>
    </row>
    <row r="168" spans="7:9" x14ac:dyDescent="0.2">
      <c r="G168" s="56">
        <v>45798</v>
      </c>
      <c r="H168" s="57">
        <v>433</v>
      </c>
      <c r="I168" s="58">
        <f t="shared" si="2"/>
        <v>-4.3783916011028243E-3</v>
      </c>
    </row>
    <row r="169" spans="7:9" x14ac:dyDescent="0.2">
      <c r="G169" s="56">
        <v>45799</v>
      </c>
      <c r="H169" s="57">
        <v>426.1</v>
      </c>
      <c r="I169" s="58">
        <f t="shared" si="2"/>
        <v>-1.6063667496623437E-2</v>
      </c>
    </row>
    <row r="170" spans="7:9" x14ac:dyDescent="0.2">
      <c r="G170" s="56">
        <v>45800</v>
      </c>
      <c r="H170" s="57">
        <v>436.3</v>
      </c>
      <c r="I170" s="58">
        <f t="shared" si="2"/>
        <v>2.3656019623697459E-2</v>
      </c>
    </row>
    <row r="171" spans="7:9" x14ac:dyDescent="0.2">
      <c r="G171" s="56">
        <v>45803</v>
      </c>
      <c r="H171" s="57">
        <v>442.9</v>
      </c>
      <c r="I171" s="58">
        <f t="shared" si="2"/>
        <v>1.5013930799588418E-2</v>
      </c>
    </row>
    <row r="172" spans="7:9" x14ac:dyDescent="0.2">
      <c r="G172" s="56">
        <v>45804</v>
      </c>
      <c r="H172" s="57">
        <v>433.9</v>
      </c>
      <c r="I172" s="58">
        <f t="shared" si="2"/>
        <v>-2.052991812484745E-2</v>
      </c>
    </row>
    <row r="173" spans="7:9" x14ac:dyDescent="0.2">
      <c r="G173" s="56">
        <v>45805</v>
      </c>
      <c r="H173" s="57">
        <v>420.2</v>
      </c>
      <c r="I173" s="58">
        <f t="shared" si="2"/>
        <v>-3.2083304393404899E-2</v>
      </c>
    </row>
    <row r="174" spans="7:9" x14ac:dyDescent="0.2">
      <c r="G174" s="56">
        <v>45806</v>
      </c>
      <c r="H174" s="57">
        <v>418.75</v>
      </c>
      <c r="I174" s="58">
        <f t="shared" si="2"/>
        <v>-3.4567052716238445E-3</v>
      </c>
    </row>
    <row r="175" spans="7:9" x14ac:dyDescent="0.2">
      <c r="G175" s="56">
        <v>45807</v>
      </c>
      <c r="H175" s="57">
        <v>418.05</v>
      </c>
      <c r="I175" s="58">
        <f t="shared" si="2"/>
        <v>-1.6730405432092384E-3</v>
      </c>
    </row>
    <row r="176" spans="7:9" x14ac:dyDescent="0.2">
      <c r="G176" s="56">
        <v>45810</v>
      </c>
      <c r="H176" s="57">
        <v>419.3</v>
      </c>
      <c r="I176" s="58">
        <f t="shared" si="2"/>
        <v>2.9856115806499812E-3</v>
      </c>
    </row>
    <row r="177" spans="7:9" x14ac:dyDescent="0.2">
      <c r="G177" s="56">
        <v>45811</v>
      </c>
      <c r="H177" s="57">
        <v>416.95</v>
      </c>
      <c r="I177" s="58">
        <f t="shared" si="2"/>
        <v>-5.6203436437226844E-3</v>
      </c>
    </row>
    <row r="178" spans="7:9" x14ac:dyDescent="0.2">
      <c r="G178" s="56">
        <v>45812</v>
      </c>
      <c r="H178" s="57">
        <v>417</v>
      </c>
      <c r="I178" s="58">
        <f t="shared" si="2"/>
        <v>1.1991126580713681E-4</v>
      </c>
    </row>
    <row r="179" spans="7:9" x14ac:dyDescent="0.2">
      <c r="G179" s="56">
        <v>45813</v>
      </c>
      <c r="H179" s="57">
        <v>419.1</v>
      </c>
      <c r="I179" s="58">
        <f t="shared" si="2"/>
        <v>5.0233331322244775E-3</v>
      </c>
    </row>
    <row r="180" spans="7:9" x14ac:dyDescent="0.2">
      <c r="G180" s="56">
        <v>45814</v>
      </c>
      <c r="H180" s="57">
        <v>421.05</v>
      </c>
      <c r="I180" s="58">
        <f t="shared" si="2"/>
        <v>4.6420365449752962E-3</v>
      </c>
    </row>
    <row r="181" spans="7:9" x14ac:dyDescent="0.2">
      <c r="G181" s="56">
        <v>45817</v>
      </c>
      <c r="H181" s="57">
        <v>423.05</v>
      </c>
      <c r="I181" s="58">
        <f t="shared" si="2"/>
        <v>4.7387838945086112E-3</v>
      </c>
    </row>
    <row r="182" spans="7:9" x14ac:dyDescent="0.2">
      <c r="G182" s="56">
        <v>45818</v>
      </c>
      <c r="H182" s="57">
        <v>427</v>
      </c>
      <c r="I182" s="58">
        <f t="shared" si="2"/>
        <v>9.2936378581145538E-3</v>
      </c>
    </row>
    <row r="183" spans="7:9" x14ac:dyDescent="0.2">
      <c r="G183" s="56">
        <v>45819</v>
      </c>
      <c r="H183" s="57">
        <v>426.15</v>
      </c>
      <c r="I183" s="58">
        <f t="shared" si="2"/>
        <v>-1.9926162603180228E-3</v>
      </c>
    </row>
    <row r="184" spans="7:9" x14ac:dyDescent="0.2">
      <c r="G184" s="56">
        <v>45820</v>
      </c>
      <c r="H184" s="57">
        <v>421</v>
      </c>
      <c r="I184" s="58">
        <f t="shared" si="2"/>
        <v>-1.2158563285925121E-2</v>
      </c>
    </row>
    <row r="185" spans="7:9" x14ac:dyDescent="0.2">
      <c r="G185" s="56">
        <v>45821</v>
      </c>
      <c r="H185" s="57">
        <v>413.9</v>
      </c>
      <c r="I185" s="58">
        <f t="shared" si="2"/>
        <v>-1.7008434927694733E-2</v>
      </c>
    </row>
    <row r="186" spans="7:9" x14ac:dyDescent="0.2">
      <c r="G186" s="56">
        <v>45824</v>
      </c>
      <c r="H186" s="57">
        <v>418.2</v>
      </c>
      <c r="I186" s="58">
        <f t="shared" si="2"/>
        <v>1.0335388239846515E-2</v>
      </c>
    </row>
    <row r="187" spans="7:9" x14ac:dyDescent="0.2">
      <c r="G187" s="56">
        <v>45825</v>
      </c>
      <c r="H187" s="57">
        <v>417.4</v>
      </c>
      <c r="I187" s="58">
        <f t="shared" si="2"/>
        <v>-1.9147923514328633E-3</v>
      </c>
    </row>
    <row r="188" spans="7:9" x14ac:dyDescent="0.2">
      <c r="G188" s="56">
        <v>45826</v>
      </c>
      <c r="H188" s="57">
        <v>415.9</v>
      </c>
      <c r="I188" s="58">
        <f t="shared" si="2"/>
        <v>-3.6001478942344141E-3</v>
      </c>
    </row>
    <row r="189" spans="7:9" x14ac:dyDescent="0.2">
      <c r="G189" s="56">
        <v>45827</v>
      </c>
      <c r="H189" s="57">
        <v>416</v>
      </c>
      <c r="I189" s="58">
        <f t="shared" si="2"/>
        <v>2.4041351239732322E-4</v>
      </c>
    </row>
    <row r="190" spans="7:9" x14ac:dyDescent="0.2">
      <c r="G190" s="56">
        <v>45828</v>
      </c>
      <c r="H190" s="57">
        <v>418.55</v>
      </c>
      <c r="I190" s="58">
        <f t="shared" si="2"/>
        <v>6.1110968448021647E-3</v>
      </c>
    </row>
    <row r="191" spans="7:9" x14ac:dyDescent="0.2">
      <c r="G191" s="56">
        <v>45831</v>
      </c>
      <c r="H191" s="57">
        <v>413.9</v>
      </c>
      <c r="I191" s="58">
        <f t="shared" si="2"/>
        <v>-1.1171958351378703E-2</v>
      </c>
    </row>
    <row r="192" spans="7:9" x14ac:dyDescent="0.2">
      <c r="G192" s="56">
        <v>45832</v>
      </c>
      <c r="H192" s="57">
        <v>414.35</v>
      </c>
      <c r="I192" s="58">
        <f t="shared" si="2"/>
        <v>1.0866285403648157E-3</v>
      </c>
    </row>
    <row r="193" spans="7:9" x14ac:dyDescent="0.2">
      <c r="G193" s="56">
        <v>45833</v>
      </c>
      <c r="H193" s="57">
        <v>416.35</v>
      </c>
      <c r="I193" s="58">
        <f t="shared" si="2"/>
        <v>4.8152253867768616E-3</v>
      </c>
    </row>
    <row r="194" spans="7:9" x14ac:dyDescent="0.2">
      <c r="G194" s="56">
        <v>45834</v>
      </c>
      <c r="H194" s="57">
        <v>420.3</v>
      </c>
      <c r="I194" s="58">
        <f t="shared" si="2"/>
        <v>9.4424893292427217E-3</v>
      </c>
    </row>
    <row r="195" spans="7:9" x14ac:dyDescent="0.2">
      <c r="G195" s="56">
        <v>45835</v>
      </c>
      <c r="H195" s="57">
        <v>418.65</v>
      </c>
      <c r="I195" s="58">
        <f t="shared" si="2"/>
        <v>-3.9334933606302094E-3</v>
      </c>
    </row>
    <row r="196" spans="7:9" x14ac:dyDescent="0.2">
      <c r="G196" s="56">
        <v>45838</v>
      </c>
      <c r="H196" s="57">
        <v>416.45</v>
      </c>
      <c r="I196" s="58">
        <f t="shared" si="2"/>
        <v>-5.2688422690913587E-3</v>
      </c>
    </row>
    <row r="197" spans="7:9" x14ac:dyDescent="0.2">
      <c r="G197" s="56">
        <v>45839</v>
      </c>
      <c r="H197" s="57">
        <v>415.1</v>
      </c>
      <c r="I197" s="58">
        <f t="shared" si="2"/>
        <v>-3.2469513223563132E-3</v>
      </c>
    </row>
    <row r="198" spans="7:9" x14ac:dyDescent="0.2">
      <c r="G198" s="56">
        <v>45840</v>
      </c>
      <c r="H198" s="57">
        <v>412.95</v>
      </c>
      <c r="I198" s="58">
        <f t="shared" si="2"/>
        <v>-5.1929348022671934E-3</v>
      </c>
    </row>
    <row r="199" spans="7:9" x14ac:dyDescent="0.2">
      <c r="G199" s="56">
        <v>45841</v>
      </c>
      <c r="H199" s="57">
        <v>413.35</v>
      </c>
      <c r="I199" s="58">
        <f t="shared" ref="I199:I262" si="3">LN(H199/H198)</f>
        <v>9.6817144195878498E-4</v>
      </c>
    </row>
    <row r="200" spans="7:9" x14ac:dyDescent="0.2">
      <c r="G200" s="56">
        <v>45842</v>
      </c>
      <c r="H200" s="57">
        <v>412.55</v>
      </c>
      <c r="I200" s="58">
        <f t="shared" si="3"/>
        <v>-1.9372811483324183E-3</v>
      </c>
    </row>
    <row r="201" spans="7:9" x14ac:dyDescent="0.2">
      <c r="G201" s="56">
        <v>45845</v>
      </c>
      <c r="H201" s="57">
        <v>416.15</v>
      </c>
      <c r="I201" s="58">
        <f t="shared" si="3"/>
        <v>8.6883616417517788E-3</v>
      </c>
    </row>
    <row r="202" spans="7:9" x14ac:dyDescent="0.2">
      <c r="G202" s="56">
        <v>45846</v>
      </c>
      <c r="H202" s="57">
        <v>417.2</v>
      </c>
      <c r="I202" s="58">
        <f t="shared" si="3"/>
        <v>2.5199509345131947E-3</v>
      </c>
    </row>
    <row r="203" spans="7:9" x14ac:dyDescent="0.2">
      <c r="G203" s="56">
        <v>45847</v>
      </c>
      <c r="H203" s="57">
        <v>419.45</v>
      </c>
      <c r="I203" s="58">
        <f t="shared" si="3"/>
        <v>5.3786061656861915E-3</v>
      </c>
    </row>
    <row r="204" spans="7:9" x14ac:dyDescent="0.2">
      <c r="G204" s="56">
        <v>45848</v>
      </c>
      <c r="H204" s="57">
        <v>416.85</v>
      </c>
      <c r="I204" s="58">
        <f t="shared" si="3"/>
        <v>-6.2178844356810641E-3</v>
      </c>
    </row>
    <row r="205" spans="7:9" x14ac:dyDescent="0.2">
      <c r="G205" s="56">
        <v>45849</v>
      </c>
      <c r="H205" s="57">
        <v>416.8</v>
      </c>
      <c r="I205" s="58">
        <f t="shared" si="3"/>
        <v>-1.1995441746531046E-4</v>
      </c>
    </row>
    <row r="206" spans="7:9" x14ac:dyDescent="0.2">
      <c r="G206" s="56">
        <v>45852</v>
      </c>
      <c r="H206" s="57">
        <v>419.4</v>
      </c>
      <c r="I206" s="58">
        <f t="shared" si="3"/>
        <v>6.2186280286623073E-3</v>
      </c>
    </row>
    <row r="207" spans="7:9" x14ac:dyDescent="0.2">
      <c r="G207" s="56">
        <v>45853</v>
      </c>
      <c r="H207" s="57">
        <v>422.1</v>
      </c>
      <c r="I207" s="58">
        <f t="shared" si="3"/>
        <v>6.417134320633509E-3</v>
      </c>
    </row>
    <row r="208" spans="7:9" x14ac:dyDescent="0.2">
      <c r="G208" s="56">
        <v>45854</v>
      </c>
      <c r="H208" s="57">
        <v>424.6</v>
      </c>
      <c r="I208" s="58">
        <f t="shared" si="3"/>
        <v>5.9052964807026469E-3</v>
      </c>
    </row>
    <row r="209" spans="7:9" x14ac:dyDescent="0.2">
      <c r="G209" s="56">
        <v>45855</v>
      </c>
      <c r="H209" s="57">
        <v>423.95</v>
      </c>
      <c r="I209" s="58">
        <f t="shared" si="3"/>
        <v>-1.5320255191437547E-3</v>
      </c>
    </row>
    <row r="210" spans="7:9" x14ac:dyDescent="0.2">
      <c r="G210" s="56">
        <v>45856</v>
      </c>
      <c r="H210" s="57">
        <v>422.75</v>
      </c>
      <c r="I210" s="58">
        <f t="shared" si="3"/>
        <v>-2.8345359713223611E-3</v>
      </c>
    </row>
    <row r="211" spans="7:9" x14ac:dyDescent="0.2">
      <c r="G211" s="56">
        <v>45859</v>
      </c>
      <c r="H211" s="57">
        <v>420.1</v>
      </c>
      <c r="I211" s="58">
        <f t="shared" si="3"/>
        <v>-6.2882096033532557E-3</v>
      </c>
    </row>
    <row r="212" spans="7:9" x14ac:dyDescent="0.2">
      <c r="G212" s="56">
        <v>45860</v>
      </c>
      <c r="H212" s="57">
        <v>416</v>
      </c>
      <c r="I212" s="58">
        <f t="shared" si="3"/>
        <v>-9.8075179140731331E-3</v>
      </c>
    </row>
    <row r="213" spans="7:9" x14ac:dyDescent="0.2">
      <c r="G213" s="56">
        <v>45861</v>
      </c>
      <c r="H213" s="57">
        <v>414.95</v>
      </c>
      <c r="I213" s="58">
        <f t="shared" si="3"/>
        <v>-2.5272292168063201E-3</v>
      </c>
    </row>
    <row r="214" spans="7:9" x14ac:dyDescent="0.2">
      <c r="G214" s="56">
        <v>45862</v>
      </c>
      <c r="H214" s="57">
        <v>409.95</v>
      </c>
      <c r="I214" s="58">
        <f t="shared" si="3"/>
        <v>-1.2122830002270249E-2</v>
      </c>
    </row>
    <row r="215" spans="7:9" x14ac:dyDescent="0.2">
      <c r="G215" s="56">
        <v>45863</v>
      </c>
      <c r="H215" s="57">
        <v>409.4</v>
      </c>
      <c r="I215" s="58">
        <f t="shared" si="3"/>
        <v>-1.3425278149976178E-3</v>
      </c>
    </row>
    <row r="216" spans="7:9" x14ac:dyDescent="0.2">
      <c r="G216" s="56">
        <v>45866</v>
      </c>
      <c r="H216" s="57">
        <v>409.9</v>
      </c>
      <c r="I216" s="58">
        <f t="shared" si="3"/>
        <v>1.2205542831026526E-3</v>
      </c>
    </row>
    <row r="217" spans="7:9" x14ac:dyDescent="0.2">
      <c r="G217" s="56">
        <v>45867</v>
      </c>
      <c r="H217" s="57">
        <v>408.45</v>
      </c>
      <c r="I217" s="58">
        <f t="shared" si="3"/>
        <v>-3.5437197224135616E-3</v>
      </c>
    </row>
    <row r="218" spans="7:9" x14ac:dyDescent="0.2">
      <c r="G218" s="56">
        <v>45868</v>
      </c>
      <c r="H218" s="57">
        <v>407.6</v>
      </c>
      <c r="I218" s="58">
        <f t="shared" si="3"/>
        <v>-2.0832064393084674E-3</v>
      </c>
    </row>
    <row r="219" spans="7:9" x14ac:dyDescent="0.2">
      <c r="G219" s="56">
        <v>45869</v>
      </c>
      <c r="H219" s="57">
        <v>411.95</v>
      </c>
      <c r="I219" s="58">
        <f t="shared" si="3"/>
        <v>1.0615681413029302E-2</v>
      </c>
    </row>
    <row r="220" spans="7:9" x14ac:dyDescent="0.2">
      <c r="G220" s="56">
        <v>45870</v>
      </c>
      <c r="H220" s="57">
        <v>416.45</v>
      </c>
      <c r="I220" s="58">
        <f t="shared" si="3"/>
        <v>1.0864423619750476E-2</v>
      </c>
    </row>
    <row r="221" spans="7:9" x14ac:dyDescent="0.2">
      <c r="G221" s="56">
        <v>45873</v>
      </c>
      <c r="H221" s="57">
        <v>416.85</v>
      </c>
      <c r="I221" s="58">
        <f t="shared" si="3"/>
        <v>9.6003847527307629E-4</v>
      </c>
    </row>
    <row r="222" spans="7:9" x14ac:dyDescent="0.2">
      <c r="G222" s="56">
        <v>45874</v>
      </c>
      <c r="H222" s="57">
        <v>414.15</v>
      </c>
      <c r="I222" s="58">
        <f t="shared" si="3"/>
        <v>-6.4982178123493481E-3</v>
      </c>
    </row>
    <row r="223" spans="7:9" x14ac:dyDescent="0.2">
      <c r="G223" s="56">
        <v>45875</v>
      </c>
      <c r="H223" s="57">
        <v>412</v>
      </c>
      <c r="I223" s="58">
        <f t="shared" si="3"/>
        <v>-5.2048776947467342E-3</v>
      </c>
    </row>
    <row r="224" spans="7:9" x14ac:dyDescent="0.2">
      <c r="G224" s="56">
        <v>45876</v>
      </c>
      <c r="H224" s="57">
        <v>413.6</v>
      </c>
      <c r="I224" s="58">
        <f t="shared" si="3"/>
        <v>3.8759738446929397E-3</v>
      </c>
    </row>
    <row r="225" spans="7:9" x14ac:dyDescent="0.2">
      <c r="G225" s="56">
        <v>45877</v>
      </c>
      <c r="H225" s="57">
        <v>414.5</v>
      </c>
      <c r="I225" s="58">
        <f t="shared" si="3"/>
        <v>2.1736513811301587E-3</v>
      </c>
    </row>
    <row r="226" spans="7:9" x14ac:dyDescent="0.2">
      <c r="G226" s="56">
        <v>45880</v>
      </c>
      <c r="H226" s="57">
        <v>416.85</v>
      </c>
      <c r="I226" s="58">
        <f t="shared" si="3"/>
        <v>5.6534702812727723E-3</v>
      </c>
    </row>
    <row r="227" spans="7:9" x14ac:dyDescent="0.2">
      <c r="G227" s="56">
        <v>45881</v>
      </c>
      <c r="H227" s="57">
        <v>416.35</v>
      </c>
      <c r="I227" s="58">
        <f t="shared" si="3"/>
        <v>-1.2001921747941003E-3</v>
      </c>
    </row>
    <row r="228" spans="7:9" x14ac:dyDescent="0.2">
      <c r="G228" s="56">
        <v>45882</v>
      </c>
      <c r="H228" s="57">
        <v>414.1</v>
      </c>
      <c r="I228" s="58">
        <f t="shared" si="3"/>
        <v>-5.4187621303067434E-3</v>
      </c>
    </row>
    <row r="229" spans="7:9" x14ac:dyDescent="0.2">
      <c r="G229" s="56">
        <v>45883</v>
      </c>
      <c r="H229" s="57">
        <v>411.45</v>
      </c>
      <c r="I229" s="58">
        <f t="shared" si="3"/>
        <v>-6.4199844997997581E-3</v>
      </c>
    </row>
    <row r="230" spans="7:9" x14ac:dyDescent="0.2">
      <c r="G230" s="56">
        <v>45887</v>
      </c>
      <c r="H230" s="57">
        <v>406.3</v>
      </c>
      <c r="I230" s="58">
        <f t="shared" si="3"/>
        <v>-1.2595703058040792E-2</v>
      </c>
    </row>
    <row r="231" spans="7:9" x14ac:dyDescent="0.2">
      <c r="G231" s="56">
        <v>45888</v>
      </c>
      <c r="H231" s="57">
        <v>409.1</v>
      </c>
      <c r="I231" s="58">
        <f t="shared" si="3"/>
        <v>6.8678219416719007E-3</v>
      </c>
    </row>
    <row r="232" spans="7:9" x14ac:dyDescent="0.2">
      <c r="G232" s="56">
        <v>45889</v>
      </c>
      <c r="H232" s="57">
        <v>406.05</v>
      </c>
      <c r="I232" s="58">
        <f t="shared" si="3"/>
        <v>-7.483320206932988E-3</v>
      </c>
    </row>
    <row r="233" spans="7:9" x14ac:dyDescent="0.2">
      <c r="G233" s="56">
        <v>45890</v>
      </c>
      <c r="H233" s="57">
        <v>405.55</v>
      </c>
      <c r="I233" s="58">
        <f t="shared" si="3"/>
        <v>-1.2321342120661931E-3</v>
      </c>
    </row>
    <row r="234" spans="7:9" x14ac:dyDescent="0.2">
      <c r="G234" s="56">
        <v>45891</v>
      </c>
      <c r="H234" s="57">
        <v>398.3</v>
      </c>
      <c r="I234" s="58">
        <f t="shared" si="3"/>
        <v>-1.8038680328755212E-2</v>
      </c>
    </row>
    <row r="235" spans="7:9" x14ac:dyDescent="0.2">
      <c r="G235" s="56">
        <v>45894</v>
      </c>
      <c r="H235" s="57">
        <v>399.35</v>
      </c>
      <c r="I235" s="58">
        <f t="shared" si="3"/>
        <v>2.6327351757993345E-3</v>
      </c>
    </row>
    <row r="236" spans="7:9" x14ac:dyDescent="0.2">
      <c r="G236" s="56">
        <v>45895</v>
      </c>
      <c r="H236" s="57">
        <v>403.35</v>
      </c>
      <c r="I236" s="58">
        <f t="shared" si="3"/>
        <v>9.9664460195853944E-3</v>
      </c>
    </row>
    <row r="237" spans="7:9" x14ac:dyDescent="0.2">
      <c r="G237" s="56">
        <v>45897</v>
      </c>
      <c r="H237" s="57">
        <v>400.9</v>
      </c>
      <c r="I237" s="58">
        <f t="shared" si="3"/>
        <v>-6.0926517345221646E-3</v>
      </c>
    </row>
    <row r="238" spans="7:9" x14ac:dyDescent="0.2">
      <c r="G238" s="56">
        <v>45898</v>
      </c>
      <c r="H238" s="57">
        <v>409.75</v>
      </c>
      <c r="I238" s="58">
        <f t="shared" si="3"/>
        <v>2.1835197975477894E-2</v>
      </c>
    </row>
    <row r="239" spans="7:9" x14ac:dyDescent="0.2">
      <c r="G239" s="56">
        <v>45901</v>
      </c>
      <c r="H239" s="57">
        <v>405.85</v>
      </c>
      <c r="I239" s="58">
        <f t="shared" si="3"/>
        <v>-9.5635844167543029E-3</v>
      </c>
    </row>
    <row r="240" spans="7:9" x14ac:dyDescent="0.2">
      <c r="G240" s="56">
        <v>45902</v>
      </c>
      <c r="H240" s="57">
        <v>406.75</v>
      </c>
      <c r="I240" s="58">
        <f t="shared" si="3"/>
        <v>2.2151128919624236E-3</v>
      </c>
    </row>
    <row r="241" spans="7:9" x14ac:dyDescent="0.2">
      <c r="G241" s="56">
        <v>45903</v>
      </c>
      <c r="H241" s="57">
        <v>411.75</v>
      </c>
      <c r="I241" s="58">
        <f t="shared" si="3"/>
        <v>1.2217622958602457E-2</v>
      </c>
    </row>
    <row r="242" spans="7:9" x14ac:dyDescent="0.2">
      <c r="G242" s="56">
        <v>45904</v>
      </c>
      <c r="H242" s="57">
        <v>415.9</v>
      </c>
      <c r="I242" s="58">
        <f t="shared" si="3"/>
        <v>1.0028477691116313E-2</v>
      </c>
    </row>
    <row r="243" spans="7:9" x14ac:dyDescent="0.2">
      <c r="G243" s="56">
        <v>45905</v>
      </c>
      <c r="H243" s="57">
        <v>407.35</v>
      </c>
      <c r="I243" s="58">
        <f t="shared" si="3"/>
        <v>-2.0772079992215045E-2</v>
      </c>
    </row>
    <row r="244" spans="7:9" x14ac:dyDescent="0.2">
      <c r="G244" s="56">
        <v>45908</v>
      </c>
      <c r="H244" s="57">
        <v>407.55</v>
      </c>
      <c r="I244" s="58">
        <f t="shared" si="3"/>
        <v>4.9085778381558636E-4</v>
      </c>
    </row>
    <row r="245" spans="7:9" x14ac:dyDescent="0.2">
      <c r="G245" s="56">
        <v>45909</v>
      </c>
      <c r="H245" s="57">
        <v>410.05</v>
      </c>
      <c r="I245" s="58">
        <f t="shared" si="3"/>
        <v>6.1154789419538141E-3</v>
      </c>
    </row>
    <row r="246" spans="7:9" x14ac:dyDescent="0.2">
      <c r="G246" s="56">
        <v>45910</v>
      </c>
      <c r="H246" s="57">
        <v>413.05</v>
      </c>
      <c r="I246" s="58">
        <f t="shared" si="3"/>
        <v>7.2895475260940801E-3</v>
      </c>
    </row>
    <row r="247" spans="7:9" x14ac:dyDescent="0.2">
      <c r="G247" s="56">
        <v>45911</v>
      </c>
      <c r="H247" s="57">
        <v>415.05</v>
      </c>
      <c r="I247" s="58">
        <f t="shared" si="3"/>
        <v>4.8303438925303413E-3</v>
      </c>
    </row>
    <row r="248" spans="7:9" x14ac:dyDescent="0.2">
      <c r="G248" s="56">
        <v>45912</v>
      </c>
      <c r="H248" s="57">
        <v>413.75</v>
      </c>
      <c r="I248" s="58">
        <f t="shared" si="3"/>
        <v>-3.1370682097719648E-3</v>
      </c>
    </row>
    <row r="249" spans="7:9" x14ac:dyDescent="0.2">
      <c r="G249" s="56">
        <v>45915</v>
      </c>
      <c r="H249" s="57">
        <v>412.65</v>
      </c>
      <c r="I249" s="58">
        <f t="shared" si="3"/>
        <v>-2.6621506525794894E-3</v>
      </c>
    </row>
    <row r="250" spans="7:9" x14ac:dyDescent="0.2">
      <c r="G250" s="56">
        <v>45916</v>
      </c>
      <c r="H250" s="57">
        <v>413.1</v>
      </c>
      <c r="I250" s="58">
        <f t="shared" si="3"/>
        <v>1.0899183640258223E-3</v>
      </c>
    </row>
    <row r="251" spans="7:9" x14ac:dyDescent="0.2">
      <c r="G251" s="56">
        <v>45917</v>
      </c>
      <c r="H251" s="57">
        <v>409.3</v>
      </c>
      <c r="I251" s="58">
        <f t="shared" si="3"/>
        <v>-9.2413109043615847E-3</v>
      </c>
    </row>
    <row r="252" spans="7:9" x14ac:dyDescent="0.2">
      <c r="G252" s="56">
        <v>45918</v>
      </c>
      <c r="H252" s="57">
        <v>411.55</v>
      </c>
      <c r="I252" s="58">
        <f t="shared" si="3"/>
        <v>5.4821359202956391E-3</v>
      </c>
    </row>
    <row r="253" spans="7:9" x14ac:dyDescent="0.2">
      <c r="G253" s="56">
        <v>45919</v>
      </c>
      <c r="H253" s="57">
        <v>410.65</v>
      </c>
      <c r="I253" s="58">
        <f t="shared" si="3"/>
        <v>-2.1892492324517578E-3</v>
      </c>
    </row>
    <row r="254" spans="7:9" x14ac:dyDescent="0.2">
      <c r="G254" s="56">
        <v>45922</v>
      </c>
      <c r="H254" s="57">
        <v>406.95</v>
      </c>
      <c r="I254" s="58">
        <f t="shared" si="3"/>
        <v>-9.0509424131507941E-3</v>
      </c>
    </row>
    <row r="255" spans="7:9" x14ac:dyDescent="0.2">
      <c r="G255" s="56">
        <v>45923</v>
      </c>
      <c r="H255" s="57">
        <v>403.2</v>
      </c>
      <c r="I255" s="58">
        <f t="shared" si="3"/>
        <v>-9.2576110158915995E-3</v>
      </c>
    </row>
  </sheetData>
  <mergeCells count="13">
    <mergeCell ref="A14:E14"/>
    <mergeCell ref="A23:E23"/>
    <mergeCell ref="A25:E26"/>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E7F82"/>
    <pageSetUpPr fitToPage="1"/>
  </sheetPr>
  <dimension ref="A1:E30"/>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362</v>
      </c>
      <c r="B1" s="3"/>
      <c r="C1" s="3"/>
      <c r="D1" s="3"/>
      <c r="E1" s="3"/>
    </row>
    <row r="2" spans="1:5" ht="36" customHeight="1" x14ac:dyDescent="0.2">
      <c r="A2" s="2" t="s">
        <v>363</v>
      </c>
      <c r="B2" s="2"/>
      <c r="C2" s="2"/>
      <c r="D2" s="2"/>
      <c r="E2" s="2"/>
    </row>
    <row r="3" spans="1:5" ht="19.5" customHeight="1" x14ac:dyDescent="0.2">
      <c r="A3" s="1" t="s">
        <v>364</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243</v>
      </c>
      <c r="B8" s="25" t="s">
        <v>244</v>
      </c>
      <c r="C8" s="41">
        <v>50</v>
      </c>
      <c r="D8" s="93"/>
      <c r="E8" s="93"/>
    </row>
    <row r="9" spans="1:5" ht="19" x14ac:dyDescent="0.25">
      <c r="A9" s="16" t="s">
        <v>365</v>
      </c>
      <c r="B9" s="25" t="s">
        <v>366</v>
      </c>
      <c r="C9" s="41">
        <v>55</v>
      </c>
      <c r="D9" s="93"/>
      <c r="E9" s="93"/>
    </row>
    <row r="10" spans="1:5" ht="19" x14ac:dyDescent="0.25">
      <c r="A10" s="16" t="s">
        <v>367</v>
      </c>
      <c r="B10" s="25" t="s">
        <v>368</v>
      </c>
      <c r="C10" s="42">
        <v>0.03</v>
      </c>
      <c r="D10" s="93" t="s">
        <v>369</v>
      </c>
      <c r="E10" s="93"/>
    </row>
    <row r="11" spans="1:5" ht="19" x14ac:dyDescent="0.25">
      <c r="A11" s="16" t="s">
        <v>370</v>
      </c>
      <c r="B11" s="25" t="s">
        <v>255</v>
      </c>
      <c r="C11" s="43">
        <v>2</v>
      </c>
      <c r="D11" s="93"/>
      <c r="E11" s="93"/>
    </row>
    <row r="12" spans="1:5" ht="19" x14ac:dyDescent="0.25">
      <c r="A12" s="16" t="s">
        <v>371</v>
      </c>
      <c r="B12" s="25" t="s">
        <v>334</v>
      </c>
      <c r="C12" s="62">
        <v>1000000</v>
      </c>
      <c r="D12" s="93"/>
      <c r="E12" s="93"/>
    </row>
    <row r="14" spans="1:5" ht="24" customHeight="1" x14ac:dyDescent="0.2">
      <c r="A14" s="91" t="s">
        <v>257</v>
      </c>
      <c r="B14" s="91"/>
      <c r="C14" s="91"/>
      <c r="D14" s="91"/>
      <c r="E14" s="91"/>
    </row>
    <row r="15" spans="1:5" ht="21.75" customHeight="1" x14ac:dyDescent="0.2">
      <c r="A15" s="40" t="s">
        <v>258</v>
      </c>
      <c r="B15" s="40" t="s">
        <v>240</v>
      </c>
      <c r="C15" s="40" t="s">
        <v>259</v>
      </c>
      <c r="D15" s="40" t="s">
        <v>260</v>
      </c>
      <c r="E15" s="40" t="s">
        <v>261</v>
      </c>
    </row>
    <row r="16" spans="1:5" ht="30" customHeight="1" x14ac:dyDescent="0.25">
      <c r="A16" s="16" t="s">
        <v>372</v>
      </c>
      <c r="B16" s="25" t="s">
        <v>373</v>
      </c>
      <c r="C16" s="44" t="s">
        <v>374</v>
      </c>
      <c r="D16" s="45">
        <f>EXP(-$C$10*$C$11)</f>
        <v>0.94176453358424872</v>
      </c>
      <c r="E16" s="46" t="s">
        <v>375</v>
      </c>
    </row>
    <row r="17" spans="1:5" ht="30" customHeight="1" x14ac:dyDescent="0.25">
      <c r="A17" s="16" t="s">
        <v>376</v>
      </c>
      <c r="B17" s="25" t="s">
        <v>377</v>
      </c>
      <c r="C17" s="44" t="s">
        <v>378</v>
      </c>
      <c r="D17" s="63">
        <f>$C$9*$D$16</f>
        <v>51.797049347133679</v>
      </c>
      <c r="E17" s="46" t="s">
        <v>379</v>
      </c>
    </row>
    <row r="18" spans="1:5" ht="30" customHeight="1" x14ac:dyDescent="0.25">
      <c r="A18" s="16" t="s">
        <v>380</v>
      </c>
      <c r="B18" s="25" t="s">
        <v>381</v>
      </c>
      <c r="C18" s="44" t="s">
        <v>382</v>
      </c>
      <c r="D18" s="63">
        <f>$C$8-$D$17</f>
        <v>-1.7970493471336795</v>
      </c>
      <c r="E18" s="46" t="s">
        <v>383</v>
      </c>
    </row>
    <row r="19" spans="1:5" ht="30" customHeight="1" x14ac:dyDescent="0.25">
      <c r="A19" s="16" t="s">
        <v>384</v>
      </c>
      <c r="B19" s="25" t="s">
        <v>385</v>
      </c>
      <c r="C19" s="44" t="s">
        <v>386</v>
      </c>
      <c r="D19" s="63">
        <f>$D$17-$C$8</f>
        <v>1.7970493471336795</v>
      </c>
      <c r="E19" s="46" t="s">
        <v>387</v>
      </c>
    </row>
    <row r="20" spans="1:5" ht="30" customHeight="1" x14ac:dyDescent="0.25">
      <c r="A20" s="25" t="s">
        <v>388</v>
      </c>
      <c r="B20" s="25" t="s">
        <v>389</v>
      </c>
      <c r="C20" s="44" t="s">
        <v>390</v>
      </c>
      <c r="D20" s="64">
        <f>$C$12*$D$19/1000000</f>
        <v>1.7970493471336795</v>
      </c>
      <c r="E20" s="46" t="s">
        <v>391</v>
      </c>
    </row>
    <row r="21" spans="1:5" ht="30" customHeight="1" x14ac:dyDescent="0.25">
      <c r="A21" s="16" t="s">
        <v>392</v>
      </c>
      <c r="B21" s="25" t="s">
        <v>393</v>
      </c>
      <c r="C21" s="44" t="s">
        <v>394</v>
      </c>
      <c r="D21" s="63">
        <f>$C$8*EXP($C$10*$C$11)</f>
        <v>53.091827327267978</v>
      </c>
      <c r="E21" s="46" t="s">
        <v>395</v>
      </c>
    </row>
    <row r="23" spans="1:5" ht="33.75" customHeight="1" x14ac:dyDescent="0.2">
      <c r="A23" s="94" t="str">
        <f>"Short forward worth "&amp;TEXT($D$20,"$0.00")&amp;" mn today: the delivery price $"&amp;TEXT($C$9,"0")&amp;" exceeds the forward price $"&amp;TEXT($D$21,"0.00")&amp;"."</f>
        <v>Short forward worth $1.80 mn today: the delivery price $55 exceeds the forward price $53.09.</v>
      </c>
      <c r="B23" s="94"/>
      <c r="C23" s="94"/>
      <c r="D23" s="94"/>
      <c r="E23" s="94"/>
    </row>
    <row r="25" spans="1:5" ht="24" customHeight="1" x14ac:dyDescent="0.2">
      <c r="A25" s="91" t="s">
        <v>282</v>
      </c>
      <c r="B25" s="91"/>
      <c r="C25" s="91"/>
      <c r="D25" s="91"/>
      <c r="E25" s="91"/>
    </row>
    <row r="26" spans="1:5" ht="21.75" customHeight="1" x14ac:dyDescent="0.2">
      <c r="A26" s="40" t="s">
        <v>283</v>
      </c>
      <c r="B26" s="40"/>
      <c r="C26" s="40" t="s">
        <v>284</v>
      </c>
      <c r="D26" s="40" t="s">
        <v>285</v>
      </c>
      <c r="E26" s="40" t="s">
        <v>286</v>
      </c>
    </row>
    <row r="27" spans="1:5" ht="19" x14ac:dyDescent="0.25">
      <c r="A27" s="16" t="s">
        <v>396</v>
      </c>
      <c r="B27" s="48"/>
      <c r="C27" s="65">
        <v>1.8</v>
      </c>
      <c r="D27" s="66">
        <f>$D$20</f>
        <v>1.7970493471336795</v>
      </c>
      <c r="E27" s="18" t="str">
        <f>IF(ABS($D$20-C27)&lt;=0.005,"MATCH","CHECK")</f>
        <v>MATCH</v>
      </c>
    </row>
    <row r="29" spans="1:5" ht="30" customHeight="1" x14ac:dyDescent="0.2">
      <c r="A29" s="6" t="s">
        <v>397</v>
      </c>
      <c r="B29" s="6"/>
      <c r="C29" s="6"/>
      <c r="D29" s="6"/>
      <c r="E29" s="6"/>
    </row>
    <row r="30" spans="1:5" ht="30" customHeight="1" x14ac:dyDescent="0.2">
      <c r="A30" s="6"/>
      <c r="B30" s="6"/>
      <c r="C30" s="6"/>
      <c r="D30" s="6"/>
      <c r="E30" s="6"/>
    </row>
  </sheetData>
  <mergeCells count="14">
    <mergeCell ref="A14:E14"/>
    <mergeCell ref="A23:E23"/>
    <mergeCell ref="A25:E25"/>
    <mergeCell ref="A29:E30"/>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E7F82"/>
    <pageSetUpPr fitToPage="1"/>
  </sheetPr>
  <dimension ref="A1:E43"/>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398</v>
      </c>
      <c r="B1" s="3"/>
      <c r="C1" s="3"/>
      <c r="D1" s="3"/>
      <c r="E1" s="3"/>
    </row>
    <row r="2" spans="1:5" ht="36" customHeight="1" x14ac:dyDescent="0.2">
      <c r="A2" s="2" t="s">
        <v>399</v>
      </c>
      <c r="B2" s="2"/>
      <c r="C2" s="2"/>
      <c r="D2" s="2"/>
      <c r="E2" s="2"/>
    </row>
    <row r="3" spans="1:5" ht="19.5" customHeight="1" x14ac:dyDescent="0.2">
      <c r="A3" s="1" t="s">
        <v>400</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243</v>
      </c>
      <c r="B8" s="25" t="s">
        <v>244</v>
      </c>
      <c r="C8" s="41">
        <v>30</v>
      </c>
      <c r="D8" s="93"/>
      <c r="E8" s="93"/>
    </row>
    <row r="9" spans="1:5" ht="19" x14ac:dyDescent="0.25">
      <c r="A9" s="16" t="s">
        <v>401</v>
      </c>
      <c r="B9" s="25" t="s">
        <v>247</v>
      </c>
      <c r="C9" s="41">
        <v>40</v>
      </c>
      <c r="D9" s="93"/>
      <c r="E9" s="93"/>
    </row>
    <row r="10" spans="1:5" ht="19" x14ac:dyDescent="0.25">
      <c r="A10" s="16" t="s">
        <v>402</v>
      </c>
      <c r="B10" s="25" t="s">
        <v>403</v>
      </c>
      <c r="C10" s="41">
        <v>100</v>
      </c>
      <c r="D10" s="93" t="s">
        <v>404</v>
      </c>
      <c r="E10" s="93"/>
    </row>
    <row r="11" spans="1:5" ht="19" x14ac:dyDescent="0.25">
      <c r="A11" s="16" t="s">
        <v>367</v>
      </c>
      <c r="B11" s="25" t="s">
        <v>368</v>
      </c>
      <c r="C11" s="42">
        <v>0.03</v>
      </c>
      <c r="D11" s="93" t="s">
        <v>405</v>
      </c>
      <c r="E11" s="93"/>
    </row>
    <row r="12" spans="1:5" ht="19" x14ac:dyDescent="0.25">
      <c r="A12" s="16" t="s">
        <v>406</v>
      </c>
      <c r="B12" s="25" t="s">
        <v>249</v>
      </c>
      <c r="C12" s="42">
        <v>0.1</v>
      </c>
      <c r="D12" s="93" t="s">
        <v>407</v>
      </c>
      <c r="E12" s="93"/>
    </row>
    <row r="13" spans="1:5" ht="19" x14ac:dyDescent="0.25">
      <c r="A13" s="16" t="s">
        <v>251</v>
      </c>
      <c r="B13" s="25" t="s">
        <v>252</v>
      </c>
      <c r="C13" s="42">
        <v>0.3</v>
      </c>
      <c r="D13" s="93" t="s">
        <v>408</v>
      </c>
      <c r="E13" s="93"/>
    </row>
    <row r="14" spans="1:5" ht="19" x14ac:dyDescent="0.25">
      <c r="A14" s="16" t="s">
        <v>370</v>
      </c>
      <c r="B14" s="25" t="s">
        <v>255</v>
      </c>
      <c r="C14" s="43">
        <v>1</v>
      </c>
      <c r="D14" s="93"/>
      <c r="E14" s="93"/>
    </row>
    <row r="16" spans="1:5" ht="24" customHeight="1" x14ac:dyDescent="0.2">
      <c r="A16" s="91" t="s">
        <v>257</v>
      </c>
      <c r="B16" s="91"/>
      <c r="C16" s="91"/>
      <c r="D16" s="91"/>
      <c r="E16" s="91"/>
    </row>
    <row r="17" spans="1:5" ht="21.75" customHeight="1" x14ac:dyDescent="0.2">
      <c r="A17" s="40" t="s">
        <v>258</v>
      </c>
      <c r="B17" s="40" t="s">
        <v>240</v>
      </c>
      <c r="C17" s="40" t="s">
        <v>259</v>
      </c>
      <c r="D17" s="40" t="s">
        <v>260</v>
      </c>
      <c r="E17" s="40" t="s">
        <v>261</v>
      </c>
    </row>
    <row r="18" spans="1:5" ht="30" customHeight="1" x14ac:dyDescent="0.25">
      <c r="A18" s="16" t="s">
        <v>409</v>
      </c>
      <c r="B18" s="25" t="s">
        <v>410</v>
      </c>
      <c r="C18" s="44" t="s">
        <v>411</v>
      </c>
      <c r="D18" s="45">
        <f>(LN($C$8/$C$9)+($C$11-$C$13^2/2)*$C$14)/($C$13*SQRT($C$14))</f>
        <v>-1.0089402415059365</v>
      </c>
      <c r="E18" s="46" t="s">
        <v>412</v>
      </c>
    </row>
    <row r="19" spans="1:5" ht="30" customHeight="1" x14ac:dyDescent="0.25">
      <c r="A19" s="16" t="s">
        <v>413</v>
      </c>
      <c r="B19" s="25" t="s">
        <v>414</v>
      </c>
      <c r="C19" s="44" t="s">
        <v>415</v>
      </c>
      <c r="D19" s="54">
        <f>NORMSDIST($D$18)</f>
        <v>0.15650164719643841</v>
      </c>
      <c r="E19" s="46" t="s">
        <v>416</v>
      </c>
    </row>
    <row r="20" spans="1:5" ht="30" customHeight="1" x14ac:dyDescent="0.25">
      <c r="A20" s="16" t="s">
        <v>417</v>
      </c>
      <c r="B20" s="25" t="s">
        <v>418</v>
      </c>
      <c r="C20" s="44" t="s">
        <v>419</v>
      </c>
      <c r="D20" s="63">
        <f>$C$10*$D$19</f>
        <v>15.650164719643842</v>
      </c>
      <c r="E20" s="46" t="s">
        <v>420</v>
      </c>
    </row>
    <row r="21" spans="1:5" ht="30" customHeight="1" x14ac:dyDescent="0.25">
      <c r="A21" s="25" t="s">
        <v>421</v>
      </c>
      <c r="B21" s="25" t="s">
        <v>422</v>
      </c>
      <c r="C21" s="44" t="s">
        <v>423</v>
      </c>
      <c r="D21" s="51">
        <f>$D$20*EXP(-$C$11*$C$14)</f>
        <v>15.187632451476807</v>
      </c>
      <c r="E21" s="46" t="s">
        <v>424</v>
      </c>
    </row>
    <row r="22" spans="1:5" ht="30" customHeight="1" x14ac:dyDescent="0.25">
      <c r="A22" s="16" t="s">
        <v>425</v>
      </c>
      <c r="B22" s="25" t="s">
        <v>426</v>
      </c>
      <c r="C22" s="44" t="s">
        <v>427</v>
      </c>
      <c r="D22" s="45">
        <f>(LN($C$8/$C$9)+($C$12-$C$13^2/2)*$C$14)/($C$13*SQRT($C$14))</f>
        <v>-0.77560690817260303</v>
      </c>
      <c r="E22" s="46" t="s">
        <v>428</v>
      </c>
    </row>
    <row r="23" spans="1:5" ht="30" customHeight="1" x14ac:dyDescent="0.25">
      <c r="A23" s="16" t="s">
        <v>429</v>
      </c>
      <c r="B23" s="25" t="s">
        <v>430</v>
      </c>
      <c r="C23" s="44" t="s">
        <v>431</v>
      </c>
      <c r="D23" s="54">
        <f>NORMSDIST($D$22)</f>
        <v>0.21899056011833215</v>
      </c>
      <c r="E23" s="46" t="s">
        <v>432</v>
      </c>
    </row>
    <row r="24" spans="1:5" ht="30" customHeight="1" x14ac:dyDescent="0.25">
      <c r="A24" s="16" t="s">
        <v>433</v>
      </c>
      <c r="B24" s="25" t="s">
        <v>434</v>
      </c>
      <c r="C24" s="44" t="s">
        <v>435</v>
      </c>
      <c r="D24" s="63">
        <f>$C$10*$D$23</f>
        <v>21.899056011833213</v>
      </c>
      <c r="E24" s="46" t="s">
        <v>436</v>
      </c>
    </row>
    <row r="25" spans="1:5" ht="30" customHeight="1" x14ac:dyDescent="0.25">
      <c r="A25" s="25" t="s">
        <v>437</v>
      </c>
      <c r="B25" s="25" t="s">
        <v>438</v>
      </c>
      <c r="C25" s="44" t="s">
        <v>439</v>
      </c>
      <c r="D25" s="47">
        <f>LN($D$24/$D$21)/$C$14</f>
        <v>0.36596208926329715</v>
      </c>
      <c r="E25" s="46" t="s">
        <v>440</v>
      </c>
    </row>
    <row r="27" spans="1:5" ht="33.75" customHeight="1" x14ac:dyDescent="0.2">
      <c r="A27" s="94" t="str">
        <f>"Value "&amp;TEXT($D$21,"$0.00")&amp;". Discounting the real-world payoff "&amp;TEXT($D$24,"$0.00")&amp;" needs "&amp;TEXT($D$25,"0.0%")&amp;" — far above the stock's "&amp;TEXT($C$12,"0%")&amp;"."</f>
        <v>Value $15.19. Discounting the real-world payoff $21.90 needs 36.6% — far above the stock's 10%.</v>
      </c>
      <c r="B27" s="94"/>
      <c r="C27" s="94"/>
      <c r="D27" s="94"/>
      <c r="E27" s="94"/>
    </row>
    <row r="29" spans="1:5" ht="24" customHeight="1" x14ac:dyDescent="0.2">
      <c r="A29" s="91" t="s">
        <v>282</v>
      </c>
      <c r="B29" s="91"/>
      <c r="C29" s="91"/>
      <c r="D29" s="91"/>
      <c r="E29" s="91"/>
    </row>
    <row r="30" spans="1:5" ht="21.75" customHeight="1" x14ac:dyDescent="0.2">
      <c r="A30" s="40" t="s">
        <v>283</v>
      </c>
      <c r="B30" s="40"/>
      <c r="C30" s="40" t="s">
        <v>284</v>
      </c>
      <c r="D30" s="40" t="s">
        <v>285</v>
      </c>
      <c r="E30" s="40" t="s">
        <v>286</v>
      </c>
    </row>
    <row r="31" spans="1:5" ht="19" x14ac:dyDescent="0.25">
      <c r="A31" s="16" t="s">
        <v>441</v>
      </c>
      <c r="B31" s="48"/>
      <c r="C31" s="52">
        <v>15.19</v>
      </c>
      <c r="D31" s="53">
        <f>$D$21</f>
        <v>15.187632451476807</v>
      </c>
      <c r="E31" s="18" t="str">
        <f>IF(ABS($D$21-C31)&lt;=0.01,"MATCH","CHECK")</f>
        <v>MATCH</v>
      </c>
    </row>
    <row r="33" spans="1:5" ht="24" customHeight="1" x14ac:dyDescent="0.2">
      <c r="A33" s="91" t="s">
        <v>442</v>
      </c>
      <c r="B33" s="91"/>
      <c r="C33" s="91"/>
      <c r="D33" s="91"/>
      <c r="E33" s="91"/>
    </row>
    <row r="34" spans="1:5" ht="21.75" customHeight="1" x14ac:dyDescent="0.2">
      <c r="A34" s="40" t="s">
        <v>443</v>
      </c>
      <c r="B34" s="40"/>
      <c r="C34" s="40" t="s">
        <v>444</v>
      </c>
      <c r="D34" s="40" t="s">
        <v>445</v>
      </c>
      <c r="E34" s="40" t="s">
        <v>446</v>
      </c>
    </row>
    <row r="35" spans="1:5" ht="19" x14ac:dyDescent="0.25">
      <c r="A35" s="67">
        <v>30</v>
      </c>
      <c r="B35" s="16"/>
      <c r="C35" s="68">
        <f t="shared" ref="C35:C40" si="0">$C$10*NORMSDIST((LN($C$8/A35)+($C$11-$C$13^2/2)*$C$14)/($C$13*SQRT($C$14)))*EXP(-$C$11*$C$14)</f>
        <v>46.587324170411463</v>
      </c>
      <c r="D35" s="68">
        <f t="shared" ref="D35:D40" si="1">$C$10*NORMSDIST((LN($C$8/A35)+($C$12-$C$13^2/2)*$C$14)/($C$13*SQRT($C$14)))</f>
        <v>57.273175930304056</v>
      </c>
      <c r="E35" s="69">
        <f t="shared" ref="E35:E40" si="2">LN(D35/C35)/$C$14</f>
        <v>0.20650388964151487</v>
      </c>
    </row>
    <row r="36" spans="1:5" ht="19" x14ac:dyDescent="0.25">
      <c r="A36" s="67">
        <v>35</v>
      </c>
      <c r="B36" s="16"/>
      <c r="C36" s="68">
        <f t="shared" si="0"/>
        <v>27.796763607805698</v>
      </c>
      <c r="D36" s="68">
        <f t="shared" si="1"/>
        <v>37.051024032338873</v>
      </c>
      <c r="E36" s="69">
        <f t="shared" si="2"/>
        <v>0.28737639362536843</v>
      </c>
    </row>
    <row r="37" spans="1:5" ht="19" x14ac:dyDescent="0.25">
      <c r="A37" s="67">
        <v>40</v>
      </c>
      <c r="B37" s="16"/>
      <c r="C37" s="68">
        <f t="shared" si="0"/>
        <v>15.187632451476807</v>
      </c>
      <c r="D37" s="68">
        <f t="shared" si="1"/>
        <v>21.899056011833213</v>
      </c>
      <c r="E37" s="69">
        <f t="shared" si="2"/>
        <v>0.36596208926329715</v>
      </c>
    </row>
    <row r="38" spans="1:5" ht="19" x14ac:dyDescent="0.25">
      <c r="A38" s="67">
        <v>45</v>
      </c>
      <c r="B38" s="16"/>
      <c r="C38" s="68">
        <f t="shared" si="0"/>
        <v>7.8144912642729318</v>
      </c>
      <c r="D38" s="68">
        <f t="shared" si="1"/>
        <v>12.135961699840779</v>
      </c>
      <c r="E38" s="69">
        <f t="shared" si="2"/>
        <v>0.44019322171572856</v>
      </c>
    </row>
    <row r="39" spans="1:5" ht="19" x14ac:dyDescent="0.25">
      <c r="A39" s="67">
        <v>50</v>
      </c>
      <c r="B39" s="16"/>
      <c r="C39" s="68">
        <f t="shared" si="0"/>
        <v>3.8645359590395554</v>
      </c>
      <c r="D39" s="68">
        <f t="shared" si="1"/>
        <v>6.4328563178375004</v>
      </c>
      <c r="E39" s="69">
        <f t="shared" si="2"/>
        <v>0.50957704452017427</v>
      </c>
    </row>
    <row r="40" spans="1:5" ht="19" x14ac:dyDescent="0.25">
      <c r="A40" s="67">
        <v>55</v>
      </c>
      <c r="B40" s="16"/>
      <c r="C40" s="68">
        <f t="shared" si="0"/>
        <v>1.8637393421517856</v>
      </c>
      <c r="D40" s="68">
        <f t="shared" si="1"/>
        <v>3.3096139452444757</v>
      </c>
      <c r="E40" s="69">
        <f t="shared" si="2"/>
        <v>0.5742466811464112</v>
      </c>
    </row>
    <row r="42" spans="1:5" ht="34.5" customHeight="1" x14ac:dyDescent="0.2">
      <c r="A42" s="6" t="s">
        <v>447</v>
      </c>
      <c r="B42" s="6"/>
      <c r="C42" s="6"/>
      <c r="D42" s="6"/>
      <c r="E42" s="6"/>
    </row>
    <row r="43" spans="1:5" ht="34.5" customHeight="1" x14ac:dyDescent="0.2">
      <c r="A43" s="6"/>
      <c r="B43" s="6"/>
      <c r="C43" s="6"/>
      <c r="D43" s="6"/>
      <c r="E43" s="6"/>
    </row>
  </sheetData>
  <mergeCells count="17">
    <mergeCell ref="A33:E33"/>
    <mergeCell ref="A42:E43"/>
    <mergeCell ref="D13:E13"/>
    <mergeCell ref="D14:E14"/>
    <mergeCell ref="A16:E16"/>
    <mergeCell ref="A27:E27"/>
    <mergeCell ref="A29:E29"/>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E7F82"/>
    <pageSetUpPr fitToPage="1"/>
  </sheetPr>
  <dimension ref="A1:E33"/>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448</v>
      </c>
      <c r="B1" s="3"/>
      <c r="C1" s="3"/>
      <c r="D1" s="3"/>
      <c r="E1" s="3"/>
    </row>
    <row r="2" spans="1:5" ht="36" customHeight="1" x14ac:dyDescent="0.2">
      <c r="A2" s="2" t="s">
        <v>449</v>
      </c>
      <c r="B2" s="2"/>
      <c r="C2" s="2"/>
      <c r="D2" s="2"/>
      <c r="E2" s="2"/>
    </row>
    <row r="3" spans="1:5" ht="19.5" customHeight="1" x14ac:dyDescent="0.2">
      <c r="A3" s="1" t="s">
        <v>450</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243</v>
      </c>
      <c r="B8" s="25" t="s">
        <v>244</v>
      </c>
      <c r="C8" s="41">
        <v>61</v>
      </c>
      <c r="D8" s="93"/>
      <c r="E8" s="93"/>
    </row>
    <row r="9" spans="1:5" ht="19" x14ac:dyDescent="0.25">
      <c r="A9" s="16" t="s">
        <v>401</v>
      </c>
      <c r="B9" s="25" t="s">
        <v>247</v>
      </c>
      <c r="C9" s="41">
        <v>60</v>
      </c>
      <c r="D9" s="93"/>
      <c r="E9" s="93"/>
    </row>
    <row r="10" spans="1:5" ht="19" x14ac:dyDescent="0.25">
      <c r="A10" s="16" t="s">
        <v>402</v>
      </c>
      <c r="B10" s="25" t="s">
        <v>403</v>
      </c>
      <c r="C10" s="41">
        <v>500</v>
      </c>
      <c r="D10" s="93"/>
      <c r="E10" s="93"/>
    </row>
    <row r="11" spans="1:5" ht="19" x14ac:dyDescent="0.25">
      <c r="A11" s="16" t="s">
        <v>367</v>
      </c>
      <c r="B11" s="25" t="s">
        <v>368</v>
      </c>
      <c r="C11" s="42">
        <v>0.02</v>
      </c>
      <c r="D11" s="93"/>
      <c r="E11" s="93"/>
    </row>
    <row r="12" spans="1:5" ht="19" x14ac:dyDescent="0.25">
      <c r="A12" s="16" t="s">
        <v>406</v>
      </c>
      <c r="B12" s="25" t="s">
        <v>249</v>
      </c>
      <c r="C12" s="42">
        <v>0.08</v>
      </c>
      <c r="D12" s="93"/>
      <c r="E12" s="93"/>
    </row>
    <row r="13" spans="1:5" ht="19" x14ac:dyDescent="0.25">
      <c r="A13" s="16" t="s">
        <v>251</v>
      </c>
      <c r="B13" s="25" t="s">
        <v>252</v>
      </c>
      <c r="C13" s="42">
        <v>0.2</v>
      </c>
      <c r="D13" s="93"/>
      <c r="E13" s="93"/>
    </row>
    <row r="14" spans="1:5" ht="19" x14ac:dyDescent="0.25">
      <c r="A14" s="16" t="s">
        <v>370</v>
      </c>
      <c r="B14" s="25" t="s">
        <v>255</v>
      </c>
      <c r="C14" s="43">
        <f>3/12</f>
        <v>0.25</v>
      </c>
      <c r="D14" s="93" t="s">
        <v>451</v>
      </c>
      <c r="E14" s="93"/>
    </row>
    <row r="16" spans="1:5" ht="24" customHeight="1" x14ac:dyDescent="0.2">
      <c r="A16" s="91" t="s">
        <v>257</v>
      </c>
      <c r="B16" s="91"/>
      <c r="C16" s="91"/>
      <c r="D16" s="91"/>
      <c r="E16" s="91"/>
    </row>
    <row r="17" spans="1:5" ht="21.75" customHeight="1" x14ac:dyDescent="0.2">
      <c r="A17" s="40" t="s">
        <v>258</v>
      </c>
      <c r="B17" s="40" t="s">
        <v>240</v>
      </c>
      <c r="C17" s="40" t="s">
        <v>259</v>
      </c>
      <c r="D17" s="40" t="s">
        <v>260</v>
      </c>
      <c r="E17" s="40" t="s">
        <v>261</v>
      </c>
    </row>
    <row r="18" spans="1:5" ht="30" customHeight="1" x14ac:dyDescent="0.25">
      <c r="A18" s="16" t="s">
        <v>409</v>
      </c>
      <c r="B18" s="25" t="s">
        <v>410</v>
      </c>
      <c r="C18" s="44" t="s">
        <v>411</v>
      </c>
      <c r="D18" s="45">
        <f>(LN($C$8/$C$9)+($C$11-$C$13^2/2)*$C$14)/($C$13*SQRT($C$14))</f>
        <v>0.16529301951210504</v>
      </c>
      <c r="E18" s="46" t="s">
        <v>412</v>
      </c>
    </row>
    <row r="19" spans="1:5" ht="30" customHeight="1" x14ac:dyDescent="0.25">
      <c r="A19" s="16" t="s">
        <v>413</v>
      </c>
      <c r="B19" s="25" t="s">
        <v>414</v>
      </c>
      <c r="C19" s="44" t="s">
        <v>415</v>
      </c>
      <c r="D19" s="54">
        <f>NORMSDIST($D$18)</f>
        <v>0.56564332356432867</v>
      </c>
      <c r="E19" s="46" t="s">
        <v>416</v>
      </c>
    </row>
    <row r="20" spans="1:5" ht="30" customHeight="1" x14ac:dyDescent="0.25">
      <c r="A20" s="25" t="s">
        <v>452</v>
      </c>
      <c r="B20" s="25" t="s">
        <v>422</v>
      </c>
      <c r="C20" s="44" t="s">
        <v>423</v>
      </c>
      <c r="D20" s="51">
        <f>$C$10*$D$19*EXP(-$C$11*$C$14)</f>
        <v>281.4110828592656</v>
      </c>
      <c r="E20" s="46" t="s">
        <v>453</v>
      </c>
    </row>
    <row r="21" spans="1:5" ht="30" customHeight="1" x14ac:dyDescent="0.25">
      <c r="A21" s="16" t="s">
        <v>454</v>
      </c>
      <c r="B21" s="25" t="s">
        <v>426</v>
      </c>
      <c r="C21" s="44" t="s">
        <v>427</v>
      </c>
      <c r="D21" s="45">
        <f>(LN($C$8/$C$9)+($C$12-$C$13^2/2)*$C$14)/($C$13*SQRT($C$14))</f>
        <v>0.31529301951210509</v>
      </c>
      <c r="E21" s="46" t="s">
        <v>428</v>
      </c>
    </row>
    <row r="22" spans="1:5" ht="30" customHeight="1" x14ac:dyDescent="0.25">
      <c r="A22" s="16" t="s">
        <v>455</v>
      </c>
      <c r="B22" s="25" t="s">
        <v>430</v>
      </c>
      <c r="C22" s="44" t="s">
        <v>431</v>
      </c>
      <c r="D22" s="54">
        <f>NORMSDIST($D$21)</f>
        <v>0.6237304077251582</v>
      </c>
      <c r="E22" s="46" t="s">
        <v>456</v>
      </c>
    </row>
    <row r="23" spans="1:5" ht="30" customHeight="1" x14ac:dyDescent="0.25">
      <c r="A23" s="25" t="s">
        <v>457</v>
      </c>
      <c r="B23" s="25" t="s">
        <v>434</v>
      </c>
      <c r="C23" s="44" t="s">
        <v>435</v>
      </c>
      <c r="D23" s="51">
        <f>$C$10*$D$22</f>
        <v>311.86520386257911</v>
      </c>
      <c r="E23" s="46" t="s">
        <v>458</v>
      </c>
    </row>
    <row r="24" spans="1:5" ht="30" customHeight="1" x14ac:dyDescent="0.25">
      <c r="A24" s="16" t="s">
        <v>459</v>
      </c>
      <c r="B24" s="25" t="s">
        <v>438</v>
      </c>
      <c r="C24" s="44" t="s">
        <v>439</v>
      </c>
      <c r="D24" s="54">
        <f>LN($D$23/$D$20)/$C$14</f>
        <v>0.41101810772165537</v>
      </c>
      <c r="E24" s="46" t="s">
        <v>460</v>
      </c>
    </row>
    <row r="26" spans="1:5" ht="33.75" customHeight="1" x14ac:dyDescent="0.2">
      <c r="A26" s="94" t="str">
        <f>"(i) Value = "&amp;TEXT($D$20,"$0.00")&amp;"   (ii) Real-world expected payoff = "&amp;TEXT($D$23,"$0.00")&amp;"   (implied rate "&amp;TEXT($D$24,"0.0%")&amp;" p.a.)"</f>
        <v>(i) Value = $281.41   (ii) Real-world expected payoff = $311.87   (implied rate 41.1% p.a.)</v>
      </c>
      <c r="B26" s="94"/>
      <c r="C26" s="94"/>
      <c r="D26" s="94"/>
      <c r="E26" s="94"/>
    </row>
    <row r="28" spans="1:5" ht="24" customHeight="1" x14ac:dyDescent="0.2">
      <c r="A28" s="91" t="s">
        <v>282</v>
      </c>
      <c r="B28" s="91"/>
      <c r="C28" s="91"/>
      <c r="D28" s="91"/>
      <c r="E28" s="91"/>
    </row>
    <row r="29" spans="1:5" ht="21.75" customHeight="1" x14ac:dyDescent="0.2">
      <c r="A29" s="40" t="s">
        <v>283</v>
      </c>
      <c r="B29" s="40"/>
      <c r="C29" s="40" t="s">
        <v>284</v>
      </c>
      <c r="D29" s="40" t="s">
        <v>285</v>
      </c>
      <c r="E29" s="40" t="s">
        <v>286</v>
      </c>
    </row>
    <row r="30" spans="1:5" ht="19" x14ac:dyDescent="0.25">
      <c r="A30" s="16" t="s">
        <v>441</v>
      </c>
      <c r="B30" s="48"/>
      <c r="C30" s="52">
        <v>281.41000000000003</v>
      </c>
      <c r="D30" s="53">
        <f>$D$20</f>
        <v>281.4110828592656</v>
      </c>
      <c r="E30" s="18" t="str">
        <f>IF(ABS($D$20-C30)&lt;=0.01,"MATCH","CHECK")</f>
        <v>MATCH</v>
      </c>
    </row>
    <row r="32" spans="1:5" ht="30" customHeight="1" x14ac:dyDescent="0.2">
      <c r="A32" s="6" t="s">
        <v>461</v>
      </c>
      <c r="B32" s="6"/>
      <c r="C32" s="6"/>
      <c r="D32" s="6"/>
      <c r="E32" s="6"/>
    </row>
    <row r="33" spans="1:5" ht="30" customHeight="1" x14ac:dyDescent="0.2">
      <c r="A33" s="6"/>
      <c r="B33" s="6"/>
      <c r="C33" s="6"/>
      <c r="D33" s="6"/>
      <c r="E33" s="6"/>
    </row>
  </sheetData>
  <mergeCells count="16">
    <mergeCell ref="A32:E33"/>
    <mergeCell ref="D13:E13"/>
    <mergeCell ref="D14:E14"/>
    <mergeCell ref="A16:E16"/>
    <mergeCell ref="A26:E26"/>
    <mergeCell ref="A28:E28"/>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E7F82"/>
    <pageSetUpPr fitToPage="1"/>
  </sheetPr>
  <dimension ref="A1:E31"/>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462</v>
      </c>
      <c r="B1" s="3"/>
      <c r="C1" s="3"/>
      <c r="D1" s="3"/>
      <c r="E1" s="3"/>
    </row>
    <row r="2" spans="1:5" ht="36" customHeight="1" x14ac:dyDescent="0.2">
      <c r="A2" s="2" t="s">
        <v>463</v>
      </c>
      <c r="B2" s="2"/>
      <c r="C2" s="2"/>
      <c r="D2" s="2"/>
      <c r="E2" s="2"/>
    </row>
    <row r="3" spans="1:5" ht="19.5" customHeight="1" x14ac:dyDescent="0.2">
      <c r="A3" s="1" t="s">
        <v>464</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243</v>
      </c>
      <c r="B8" s="25" t="s">
        <v>244</v>
      </c>
      <c r="C8" s="41">
        <v>25</v>
      </c>
      <c r="D8" s="93"/>
      <c r="E8" s="93"/>
    </row>
    <row r="9" spans="1:5" ht="19" x14ac:dyDescent="0.25">
      <c r="A9" s="16" t="s">
        <v>401</v>
      </c>
      <c r="B9" s="25" t="s">
        <v>247</v>
      </c>
      <c r="C9" s="41">
        <v>30</v>
      </c>
      <c r="D9" s="93"/>
      <c r="E9" s="93"/>
    </row>
    <row r="10" spans="1:5" ht="19" x14ac:dyDescent="0.25">
      <c r="A10" s="16" t="s">
        <v>402</v>
      </c>
      <c r="B10" s="25" t="s">
        <v>403</v>
      </c>
      <c r="C10" s="41">
        <v>100</v>
      </c>
      <c r="D10" s="93"/>
      <c r="E10" s="93"/>
    </row>
    <row r="11" spans="1:5" ht="19" x14ac:dyDescent="0.25">
      <c r="A11" s="16" t="s">
        <v>367</v>
      </c>
      <c r="B11" s="25" t="s">
        <v>368</v>
      </c>
      <c r="C11" s="42">
        <v>0.03</v>
      </c>
      <c r="D11" s="93"/>
      <c r="E11" s="93"/>
    </row>
    <row r="12" spans="1:5" ht="19" x14ac:dyDescent="0.25">
      <c r="A12" s="16" t="s">
        <v>406</v>
      </c>
      <c r="B12" s="25" t="s">
        <v>249</v>
      </c>
      <c r="C12" s="42">
        <v>0.1</v>
      </c>
      <c r="D12" s="93"/>
      <c r="E12" s="93"/>
    </row>
    <row r="13" spans="1:5" ht="19" x14ac:dyDescent="0.25">
      <c r="A13" s="16" t="s">
        <v>251</v>
      </c>
      <c r="B13" s="25" t="s">
        <v>252</v>
      </c>
      <c r="C13" s="42">
        <v>0.3</v>
      </c>
      <c r="D13" s="93"/>
      <c r="E13" s="93"/>
    </row>
    <row r="14" spans="1:5" ht="19" x14ac:dyDescent="0.25">
      <c r="A14" s="16" t="s">
        <v>370</v>
      </c>
      <c r="B14" s="25" t="s">
        <v>255</v>
      </c>
      <c r="C14" s="43">
        <f>3/12</f>
        <v>0.25</v>
      </c>
      <c r="D14" s="93" t="s">
        <v>451</v>
      </c>
      <c r="E14" s="93"/>
    </row>
    <row r="16" spans="1:5" ht="24" customHeight="1" x14ac:dyDescent="0.2">
      <c r="A16" s="91" t="s">
        <v>257</v>
      </c>
      <c r="B16" s="91"/>
      <c r="C16" s="91"/>
      <c r="D16" s="91"/>
      <c r="E16" s="91"/>
    </row>
    <row r="17" spans="1:5" ht="21.75" customHeight="1" x14ac:dyDescent="0.2">
      <c r="A17" s="40" t="s">
        <v>258</v>
      </c>
      <c r="B17" s="40" t="s">
        <v>240</v>
      </c>
      <c r="C17" s="40" t="s">
        <v>259</v>
      </c>
      <c r="D17" s="40" t="s">
        <v>260</v>
      </c>
      <c r="E17" s="40" t="s">
        <v>261</v>
      </c>
    </row>
    <row r="18" spans="1:5" ht="30" customHeight="1" x14ac:dyDescent="0.25">
      <c r="A18" s="16" t="s">
        <v>409</v>
      </c>
      <c r="B18" s="25" t="s">
        <v>410</v>
      </c>
      <c r="C18" s="44" t="s">
        <v>411</v>
      </c>
      <c r="D18" s="45">
        <f>(LN($C$8/$C$9)+($C$11-$C$13^2/2)*$C$14)/($C$13*SQRT($C$14))</f>
        <v>-1.2404770452930307</v>
      </c>
      <c r="E18" s="46" t="s">
        <v>412</v>
      </c>
    </row>
    <row r="19" spans="1:5" ht="30" customHeight="1" x14ac:dyDescent="0.25">
      <c r="A19" s="16" t="s">
        <v>413</v>
      </c>
      <c r="B19" s="25" t="s">
        <v>414</v>
      </c>
      <c r="C19" s="44" t="s">
        <v>415</v>
      </c>
      <c r="D19" s="54">
        <f>NORMSDIST($D$18)</f>
        <v>0.10739949970708115</v>
      </c>
      <c r="E19" s="46" t="s">
        <v>416</v>
      </c>
    </row>
    <row r="20" spans="1:5" ht="30" customHeight="1" x14ac:dyDescent="0.25">
      <c r="A20" s="25" t="s">
        <v>465</v>
      </c>
      <c r="B20" s="25" t="s">
        <v>422</v>
      </c>
      <c r="C20" s="44" t="s">
        <v>423</v>
      </c>
      <c r="D20" s="51">
        <f>$C$10*$D$19*EXP(-$C$11*$C$14)</f>
        <v>10.65970165328179</v>
      </c>
      <c r="E20" s="46" t="s">
        <v>453</v>
      </c>
    </row>
    <row r="21" spans="1:5" ht="30" customHeight="1" x14ac:dyDescent="0.25">
      <c r="A21" s="16" t="s">
        <v>454</v>
      </c>
      <c r="B21" s="25" t="s">
        <v>426</v>
      </c>
      <c r="C21" s="44" t="s">
        <v>427</v>
      </c>
      <c r="D21" s="45">
        <f>(LN($C$8/$C$9)+($C$12-$C$13^2/2)*$C$14)/($C$13*SQRT($C$14))</f>
        <v>-1.123810378626364</v>
      </c>
      <c r="E21" s="46" t="s">
        <v>428</v>
      </c>
    </row>
    <row r="22" spans="1:5" ht="30" customHeight="1" x14ac:dyDescent="0.25">
      <c r="A22" s="25" t="s">
        <v>466</v>
      </c>
      <c r="B22" s="25" t="s">
        <v>430</v>
      </c>
      <c r="C22" s="44" t="s">
        <v>431</v>
      </c>
      <c r="D22" s="47">
        <f>NORMSDIST($D$21)</f>
        <v>0.13054673880324122</v>
      </c>
      <c r="E22" s="46" t="s">
        <v>456</v>
      </c>
    </row>
    <row r="24" spans="1:5" ht="33.75" customHeight="1" x14ac:dyDescent="0.2">
      <c r="A24" s="94" t="str">
        <f>"(a) Value = "&amp;TEXT($D$20,"$0.00")&amp;"     (b) Real-world probability of payoff = "&amp;TEXT($D$22,"0.00%")</f>
        <v>(a) Value = $10.66     (b) Real-world probability of payoff = 13.05%</v>
      </c>
      <c r="B24" s="94"/>
      <c r="C24" s="94"/>
      <c r="D24" s="94"/>
      <c r="E24" s="94"/>
    </row>
    <row r="26" spans="1:5" ht="24" customHeight="1" x14ac:dyDescent="0.2">
      <c r="A26" s="91" t="s">
        <v>282</v>
      </c>
      <c r="B26" s="91"/>
      <c r="C26" s="91"/>
      <c r="D26" s="91"/>
      <c r="E26" s="91"/>
    </row>
    <row r="27" spans="1:5" ht="21.75" customHeight="1" x14ac:dyDescent="0.2">
      <c r="A27" s="40" t="s">
        <v>283</v>
      </c>
      <c r="B27" s="40"/>
      <c r="C27" s="40" t="s">
        <v>284</v>
      </c>
      <c r="D27" s="40" t="s">
        <v>285</v>
      </c>
      <c r="E27" s="40" t="s">
        <v>286</v>
      </c>
    </row>
    <row r="28" spans="1:5" ht="19" x14ac:dyDescent="0.25">
      <c r="A28" s="16" t="s">
        <v>441</v>
      </c>
      <c r="B28" s="48"/>
      <c r="C28" s="52">
        <v>10.66</v>
      </c>
      <c r="D28" s="53">
        <f>$D$20</f>
        <v>10.65970165328179</v>
      </c>
      <c r="E28" s="18" t="str">
        <f>IF(ABS($D$20-C28)&lt;=0.01,"MATCH","CHECK")</f>
        <v>MATCH</v>
      </c>
    </row>
    <row r="30" spans="1:5" ht="30" customHeight="1" x14ac:dyDescent="0.2">
      <c r="A30" s="6" t="s">
        <v>467</v>
      </c>
      <c r="B30" s="6"/>
      <c r="C30" s="6"/>
      <c r="D30" s="6"/>
      <c r="E30" s="6"/>
    </row>
    <row r="31" spans="1:5" ht="30" customHeight="1" x14ac:dyDescent="0.2">
      <c r="A31" s="6"/>
      <c r="B31" s="6"/>
      <c r="C31" s="6"/>
      <c r="D31" s="6"/>
      <c r="E31" s="6"/>
    </row>
  </sheetData>
  <mergeCells count="16">
    <mergeCell ref="A30:E31"/>
    <mergeCell ref="D13:E13"/>
    <mergeCell ref="D14:E14"/>
    <mergeCell ref="A16:E16"/>
    <mergeCell ref="A24:E24"/>
    <mergeCell ref="A26:E26"/>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E7F82"/>
    <pageSetUpPr fitToPage="1"/>
  </sheetPr>
  <dimension ref="A1:E29"/>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468</v>
      </c>
      <c r="B1" s="3"/>
      <c r="C1" s="3"/>
      <c r="D1" s="3"/>
      <c r="E1" s="3"/>
    </row>
    <row r="2" spans="1:5" ht="36" customHeight="1" x14ac:dyDescent="0.2">
      <c r="A2" s="2" t="s">
        <v>469</v>
      </c>
      <c r="B2" s="2"/>
      <c r="C2" s="2"/>
      <c r="D2" s="2"/>
      <c r="E2" s="2"/>
    </row>
    <row r="3" spans="1:5" ht="19.5" customHeight="1" x14ac:dyDescent="0.2">
      <c r="A3" s="1" t="s">
        <v>470</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471</v>
      </c>
      <c r="B8" s="25"/>
      <c r="C8" s="41">
        <v>3</v>
      </c>
      <c r="D8" s="93"/>
      <c r="E8" s="93"/>
    </row>
    <row r="9" spans="1:5" ht="19" x14ac:dyDescent="0.25">
      <c r="A9" s="16" t="s">
        <v>472</v>
      </c>
      <c r="B9" s="25"/>
      <c r="C9" s="41">
        <v>95</v>
      </c>
      <c r="D9" s="93"/>
      <c r="E9" s="93"/>
    </row>
    <row r="10" spans="1:5" ht="19" x14ac:dyDescent="0.25">
      <c r="A10" s="16" t="s">
        <v>473</v>
      </c>
      <c r="B10" s="25"/>
      <c r="C10" s="41">
        <v>100</v>
      </c>
      <c r="D10" s="93"/>
      <c r="E10" s="93"/>
    </row>
    <row r="11" spans="1:5" ht="19" x14ac:dyDescent="0.25">
      <c r="A11" s="16" t="s">
        <v>474</v>
      </c>
      <c r="B11" s="25" t="s">
        <v>255</v>
      </c>
      <c r="C11" s="43">
        <v>1</v>
      </c>
      <c r="D11" s="93"/>
      <c r="E11" s="93"/>
    </row>
    <row r="13" spans="1:5" ht="24" customHeight="1" x14ac:dyDescent="0.2">
      <c r="A13" s="91" t="s">
        <v>257</v>
      </c>
      <c r="B13" s="91"/>
      <c r="C13" s="91"/>
      <c r="D13" s="91"/>
      <c r="E13" s="91"/>
    </row>
    <row r="14" spans="1:5" ht="21.75" customHeight="1" x14ac:dyDescent="0.2">
      <c r="A14" s="40" t="s">
        <v>258</v>
      </c>
      <c r="B14" s="40" t="s">
        <v>240</v>
      </c>
      <c r="C14" s="40" t="s">
        <v>259</v>
      </c>
      <c r="D14" s="40" t="s">
        <v>260</v>
      </c>
      <c r="E14" s="40" t="s">
        <v>261</v>
      </c>
    </row>
    <row r="15" spans="1:5" ht="30" customHeight="1" x14ac:dyDescent="0.25">
      <c r="A15" s="16" t="s">
        <v>475</v>
      </c>
      <c r="B15" s="25" t="s">
        <v>476</v>
      </c>
      <c r="C15" s="44" t="s">
        <v>477</v>
      </c>
      <c r="D15" s="45">
        <f>$C$8/$C$10</f>
        <v>0.03</v>
      </c>
      <c r="E15" s="46" t="s">
        <v>478</v>
      </c>
    </row>
    <row r="16" spans="1:5" ht="30" customHeight="1" x14ac:dyDescent="0.25">
      <c r="A16" s="16" t="s">
        <v>479</v>
      </c>
      <c r="B16" s="25" t="s">
        <v>480</v>
      </c>
      <c r="C16" s="44" t="s">
        <v>481</v>
      </c>
      <c r="D16" s="45">
        <f>$C$9/$C$10</f>
        <v>0.95</v>
      </c>
      <c r="E16" s="46" t="s">
        <v>482</v>
      </c>
    </row>
    <row r="17" spans="1:5" ht="30" customHeight="1" x14ac:dyDescent="0.25">
      <c r="A17" s="16" t="s">
        <v>483</v>
      </c>
      <c r="B17" s="25" t="s">
        <v>373</v>
      </c>
      <c r="C17" s="44" t="s">
        <v>484</v>
      </c>
      <c r="D17" s="45">
        <f>$D$15+$D$16</f>
        <v>0.98</v>
      </c>
      <c r="E17" s="46" t="s">
        <v>485</v>
      </c>
    </row>
    <row r="18" spans="1:5" ht="30" customHeight="1" x14ac:dyDescent="0.25">
      <c r="A18" s="25" t="s">
        <v>486</v>
      </c>
      <c r="B18" s="25" t="s">
        <v>438</v>
      </c>
      <c r="C18" s="44" t="s">
        <v>487</v>
      </c>
      <c r="D18" s="47">
        <f>-LN($D$17)/$C$11</f>
        <v>2.0202707317519466E-2</v>
      </c>
      <c r="E18" s="46" t="s">
        <v>488</v>
      </c>
    </row>
    <row r="19" spans="1:5" ht="30" customHeight="1" x14ac:dyDescent="0.25">
      <c r="A19" s="25" t="s">
        <v>489</v>
      </c>
      <c r="B19" s="25" t="s">
        <v>490</v>
      </c>
      <c r="C19" s="44" t="s">
        <v>491</v>
      </c>
      <c r="D19" s="47">
        <f>$D$15/$D$17</f>
        <v>3.0612244897959183E-2</v>
      </c>
      <c r="E19" s="46" t="s">
        <v>492</v>
      </c>
    </row>
    <row r="20" spans="1:5" ht="30" customHeight="1" x14ac:dyDescent="0.25">
      <c r="A20" s="16" t="s">
        <v>493</v>
      </c>
      <c r="B20" s="25" t="s">
        <v>494</v>
      </c>
      <c r="C20" s="44" t="s">
        <v>495</v>
      </c>
      <c r="D20" s="63">
        <f>EXP(-$D$18*$C$11)*$D$19*$C$10</f>
        <v>3</v>
      </c>
      <c r="E20" s="46" t="s">
        <v>496</v>
      </c>
    </row>
    <row r="22" spans="1:5" ht="33.75" customHeight="1" x14ac:dyDescent="0.2">
      <c r="A22" s="94" t="str">
        <f>"Risk-free rate = "&amp;TEXT($D$18,"0.00%")&amp;";  risk-neutral probability of default = "&amp;TEXT($D$19,"0.00%")</f>
        <v>Risk-free rate = 2.02%;  risk-neutral probability of default = 3.06%</v>
      </c>
      <c r="B22" s="94"/>
      <c r="C22" s="94"/>
      <c r="D22" s="94"/>
      <c r="E22" s="94"/>
    </row>
    <row r="24" spans="1:5" ht="24" customHeight="1" x14ac:dyDescent="0.2">
      <c r="A24" s="91" t="s">
        <v>282</v>
      </c>
      <c r="B24" s="91"/>
      <c r="C24" s="91"/>
      <c r="D24" s="91"/>
      <c r="E24" s="91"/>
    </row>
    <row r="25" spans="1:5" ht="21.75" customHeight="1" x14ac:dyDescent="0.2">
      <c r="A25" s="40" t="s">
        <v>283</v>
      </c>
      <c r="B25" s="40"/>
      <c r="C25" s="40" t="s">
        <v>284</v>
      </c>
      <c r="D25" s="40" t="s">
        <v>285</v>
      </c>
      <c r="E25" s="40" t="s">
        <v>286</v>
      </c>
    </row>
    <row r="26" spans="1:5" ht="19" x14ac:dyDescent="0.25">
      <c r="A26" s="16" t="s">
        <v>497</v>
      </c>
      <c r="B26" s="48"/>
      <c r="C26" s="49">
        <v>3.0599999999999999E-2</v>
      </c>
      <c r="D26" s="50">
        <f>$D$19</f>
        <v>3.0612244897959183E-2</v>
      </c>
      <c r="E26" s="18" t="str">
        <f>IF(ABS($D$19-C26)&lt;=0.0001,"MATCH","CHECK")</f>
        <v>MATCH</v>
      </c>
    </row>
    <row r="28" spans="1:5" ht="30" customHeight="1" x14ac:dyDescent="0.2">
      <c r="A28" s="6" t="s">
        <v>498</v>
      </c>
      <c r="B28" s="6"/>
      <c r="C28" s="6"/>
      <c r="D28" s="6"/>
      <c r="E28" s="6"/>
    </row>
    <row r="29" spans="1:5" ht="30" customHeight="1" x14ac:dyDescent="0.2">
      <c r="A29" s="6"/>
      <c r="B29" s="6"/>
      <c r="C29" s="6"/>
      <c r="D29" s="6"/>
      <c r="E29" s="6"/>
    </row>
  </sheetData>
  <mergeCells count="13">
    <mergeCell ref="A22:E22"/>
    <mergeCell ref="A24:E24"/>
    <mergeCell ref="A28:E29"/>
    <mergeCell ref="D8:E8"/>
    <mergeCell ref="D9:E9"/>
    <mergeCell ref="D10:E10"/>
    <mergeCell ref="D11:E11"/>
    <mergeCell ref="A13:E13"/>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E7F82"/>
    <pageSetUpPr fitToPage="1"/>
  </sheetPr>
  <dimension ref="A1:E32"/>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499</v>
      </c>
      <c r="B1" s="3"/>
      <c r="C1" s="3"/>
      <c r="D1" s="3"/>
      <c r="E1" s="3"/>
    </row>
    <row r="2" spans="1:5" ht="36" customHeight="1" x14ac:dyDescent="0.2">
      <c r="A2" s="2" t="s">
        <v>500</v>
      </c>
      <c r="B2" s="2"/>
      <c r="C2" s="2"/>
      <c r="D2" s="2"/>
      <c r="E2" s="2"/>
    </row>
    <row r="3" spans="1:5" ht="19.5" customHeight="1" x14ac:dyDescent="0.2">
      <c r="A3" s="1" t="s">
        <v>501</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371</v>
      </c>
      <c r="B8" s="25" t="s">
        <v>334</v>
      </c>
      <c r="C8" s="62">
        <v>10000</v>
      </c>
      <c r="D8" s="93"/>
      <c r="E8" s="93"/>
    </row>
    <row r="9" spans="1:5" ht="19" x14ac:dyDescent="0.25">
      <c r="A9" s="16" t="s">
        <v>243</v>
      </c>
      <c r="B9" s="25" t="s">
        <v>244</v>
      </c>
      <c r="C9" s="41">
        <v>30</v>
      </c>
      <c r="D9" s="93"/>
      <c r="E9" s="93"/>
    </row>
    <row r="10" spans="1:5" ht="19" x14ac:dyDescent="0.25">
      <c r="A10" s="16" t="s">
        <v>248</v>
      </c>
      <c r="B10" s="25" t="s">
        <v>249</v>
      </c>
      <c r="C10" s="42">
        <v>0.08</v>
      </c>
      <c r="D10" s="93"/>
      <c r="E10" s="93"/>
    </row>
    <row r="11" spans="1:5" ht="19" x14ac:dyDescent="0.25">
      <c r="A11" s="16" t="s">
        <v>251</v>
      </c>
      <c r="B11" s="25" t="s">
        <v>252</v>
      </c>
      <c r="C11" s="42">
        <v>0.25</v>
      </c>
      <c r="D11" s="93"/>
      <c r="E11" s="93"/>
    </row>
    <row r="12" spans="1:5" ht="19" x14ac:dyDescent="0.25">
      <c r="A12" s="16" t="s">
        <v>502</v>
      </c>
      <c r="B12" s="25" t="s">
        <v>255</v>
      </c>
      <c r="C12" s="43">
        <v>1</v>
      </c>
      <c r="D12" s="93"/>
      <c r="E12" s="93"/>
    </row>
    <row r="13" spans="1:5" ht="19" x14ac:dyDescent="0.25">
      <c r="A13" s="16" t="s">
        <v>503</v>
      </c>
      <c r="B13" s="25" t="s">
        <v>295</v>
      </c>
      <c r="C13" s="42">
        <v>0.05</v>
      </c>
      <c r="D13" s="93" t="s">
        <v>504</v>
      </c>
      <c r="E13" s="93"/>
    </row>
    <row r="14" spans="1:5" ht="19" x14ac:dyDescent="0.25">
      <c r="A14" s="16" t="s">
        <v>505</v>
      </c>
      <c r="B14" s="25" t="s">
        <v>295</v>
      </c>
      <c r="C14" s="42">
        <v>0.01</v>
      </c>
      <c r="D14" s="93" t="s">
        <v>506</v>
      </c>
      <c r="E14" s="93"/>
    </row>
    <row r="16" spans="1:5" ht="24" customHeight="1" x14ac:dyDescent="0.2">
      <c r="A16" s="91" t="s">
        <v>257</v>
      </c>
      <c r="B16" s="91"/>
      <c r="C16" s="91"/>
      <c r="D16" s="91"/>
      <c r="E16" s="91"/>
    </row>
    <row r="17" spans="1:5" ht="21.75" customHeight="1" x14ac:dyDescent="0.2">
      <c r="A17" s="40" t="s">
        <v>258</v>
      </c>
      <c r="B17" s="40" t="s">
        <v>240</v>
      </c>
      <c r="C17" s="40" t="s">
        <v>259</v>
      </c>
      <c r="D17" s="40" t="s">
        <v>260</v>
      </c>
      <c r="E17" s="40" t="s">
        <v>261</v>
      </c>
    </row>
    <row r="18" spans="1:5" ht="30" customHeight="1" x14ac:dyDescent="0.25">
      <c r="A18" s="16" t="s">
        <v>507</v>
      </c>
      <c r="B18" s="25" t="s">
        <v>267</v>
      </c>
      <c r="C18" s="44" t="s">
        <v>268</v>
      </c>
      <c r="D18" s="45">
        <f>($C$10-$C$11^2/2)*$C$12</f>
        <v>4.8750000000000002E-2</v>
      </c>
      <c r="E18" s="46" t="s">
        <v>269</v>
      </c>
    </row>
    <row r="19" spans="1:5" ht="30" customHeight="1" x14ac:dyDescent="0.25">
      <c r="A19" s="16" t="s">
        <v>508</v>
      </c>
      <c r="B19" s="25" t="s">
        <v>271</v>
      </c>
      <c r="C19" s="44" t="s">
        <v>272</v>
      </c>
      <c r="D19" s="45">
        <f>$C$11*SQRT($C$12)</f>
        <v>0.25</v>
      </c>
      <c r="E19" s="46" t="s">
        <v>273</v>
      </c>
    </row>
    <row r="20" spans="1:5" ht="30" customHeight="1" x14ac:dyDescent="0.25">
      <c r="A20" s="16" t="s">
        <v>509</v>
      </c>
      <c r="B20" s="25" t="s">
        <v>510</v>
      </c>
      <c r="C20" s="44" t="s">
        <v>511</v>
      </c>
      <c r="D20" s="63">
        <f>$C$9*EXP($D$18+NORMSINV($C$13)*$D$19)</f>
        <v>20.87879341954098</v>
      </c>
      <c r="E20" s="46" t="s">
        <v>512</v>
      </c>
    </row>
    <row r="21" spans="1:5" ht="30" customHeight="1" x14ac:dyDescent="0.25">
      <c r="A21" s="25" t="s">
        <v>513</v>
      </c>
      <c r="B21" s="25" t="s">
        <v>514</v>
      </c>
      <c r="C21" s="44" t="s">
        <v>515</v>
      </c>
      <c r="D21" s="70">
        <f>$C$8*($C$9-$D$20)</f>
        <v>91212.065804590209</v>
      </c>
      <c r="E21" s="46" t="s">
        <v>516</v>
      </c>
    </row>
    <row r="22" spans="1:5" ht="30" customHeight="1" x14ac:dyDescent="0.25">
      <c r="A22" s="16" t="s">
        <v>517</v>
      </c>
      <c r="B22" s="25" t="s">
        <v>518</v>
      </c>
      <c r="C22" s="44" t="s">
        <v>519</v>
      </c>
      <c r="D22" s="63">
        <f>$C$9*EXP($D$18+NORMSINV($C$14)*$D$19)</f>
        <v>17.608124470120366</v>
      </c>
      <c r="E22" s="46" t="s">
        <v>520</v>
      </c>
    </row>
    <row r="23" spans="1:5" ht="30" customHeight="1" x14ac:dyDescent="0.25">
      <c r="A23" s="25" t="s">
        <v>521</v>
      </c>
      <c r="B23" s="25" t="s">
        <v>522</v>
      </c>
      <c r="C23" s="44" t="s">
        <v>515</v>
      </c>
      <c r="D23" s="70">
        <f>$C$8*($C$9-$D$22)</f>
        <v>123918.75529879634</v>
      </c>
      <c r="E23" s="46" t="s">
        <v>523</v>
      </c>
    </row>
    <row r="25" spans="1:5" ht="33.75" customHeight="1" x14ac:dyDescent="0.2">
      <c r="A25" s="94" t="str">
        <f>"95% sure the loss will not exceed "&amp;TEXT($D$21,"$#,##0")&amp;";  99% sure it will not exceed "&amp;TEXT($D$23,"$#,##0")&amp;" — these are VaR estimates."</f>
        <v>95% sure the loss will not exceed $91,212;  99% sure it will not exceed $1,23,919 — these are VaR estimates.</v>
      </c>
      <c r="B25" s="94"/>
      <c r="C25" s="94"/>
      <c r="D25" s="94"/>
      <c r="E25" s="94"/>
    </row>
    <row r="27" spans="1:5" ht="24" customHeight="1" x14ac:dyDescent="0.2">
      <c r="A27" s="91" t="s">
        <v>282</v>
      </c>
      <c r="B27" s="91"/>
      <c r="C27" s="91"/>
      <c r="D27" s="91"/>
      <c r="E27" s="91"/>
    </row>
    <row r="28" spans="1:5" ht="21.75" customHeight="1" x14ac:dyDescent="0.2">
      <c r="A28" s="40" t="s">
        <v>283</v>
      </c>
      <c r="B28" s="40"/>
      <c r="C28" s="40" t="s">
        <v>284</v>
      </c>
      <c r="D28" s="40" t="s">
        <v>285</v>
      </c>
      <c r="E28" s="40" t="s">
        <v>286</v>
      </c>
    </row>
    <row r="29" spans="1:5" ht="19" x14ac:dyDescent="0.25">
      <c r="A29" s="16" t="s">
        <v>524</v>
      </c>
      <c r="B29" s="48"/>
      <c r="C29" s="71">
        <v>123900</v>
      </c>
      <c r="D29" s="72">
        <f>$D$23</f>
        <v>123918.75529879634</v>
      </c>
      <c r="E29" s="18" t="str">
        <f>IF(ABS($D$23-C29)&lt;=50,"MATCH","CHECK")</f>
        <v>MATCH</v>
      </c>
    </row>
    <row r="31" spans="1:5" ht="30" customHeight="1" x14ac:dyDescent="0.2">
      <c r="A31" s="6" t="s">
        <v>525</v>
      </c>
      <c r="B31" s="6"/>
      <c r="C31" s="6"/>
      <c r="D31" s="6"/>
      <c r="E31" s="6"/>
    </row>
    <row r="32" spans="1:5" ht="30" customHeight="1" x14ac:dyDescent="0.2">
      <c r="A32" s="6"/>
      <c r="B32" s="6"/>
      <c r="C32" s="6"/>
      <c r="D32" s="6"/>
      <c r="E32" s="6"/>
    </row>
  </sheetData>
  <mergeCells count="16">
    <mergeCell ref="A31:E32"/>
    <mergeCell ref="D13:E13"/>
    <mergeCell ref="D14:E14"/>
    <mergeCell ref="A16:E16"/>
    <mergeCell ref="A25:E25"/>
    <mergeCell ref="A27:E27"/>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E7F82"/>
    <pageSetUpPr fitToPage="1"/>
  </sheetPr>
  <dimension ref="A1:E31"/>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526</v>
      </c>
      <c r="B1" s="3"/>
      <c r="C1" s="3"/>
      <c r="D1" s="3"/>
      <c r="E1" s="3"/>
    </row>
    <row r="2" spans="1:5" ht="36" customHeight="1" x14ac:dyDescent="0.2">
      <c r="A2" s="2" t="s">
        <v>527</v>
      </c>
      <c r="B2" s="2"/>
      <c r="C2" s="2"/>
      <c r="D2" s="2"/>
      <c r="E2" s="2"/>
    </row>
    <row r="3" spans="1:5" ht="19.5" customHeight="1" x14ac:dyDescent="0.2">
      <c r="A3" s="1" t="s">
        <v>528</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371</v>
      </c>
      <c r="B8" s="25" t="s">
        <v>334</v>
      </c>
      <c r="C8" s="62">
        <v>10000</v>
      </c>
      <c r="D8" s="93"/>
      <c r="E8" s="93"/>
    </row>
    <row r="9" spans="1:5" ht="19" x14ac:dyDescent="0.25">
      <c r="A9" s="16" t="s">
        <v>243</v>
      </c>
      <c r="B9" s="25" t="s">
        <v>244</v>
      </c>
      <c r="C9" s="41">
        <v>80</v>
      </c>
      <c r="D9" s="93"/>
      <c r="E9" s="93"/>
    </row>
    <row r="10" spans="1:5" ht="19" x14ac:dyDescent="0.25">
      <c r="A10" s="16" t="s">
        <v>292</v>
      </c>
      <c r="B10" s="25" t="s">
        <v>249</v>
      </c>
      <c r="C10" s="42">
        <v>0.08</v>
      </c>
      <c r="D10" s="93"/>
      <c r="E10" s="93"/>
    </row>
    <row r="11" spans="1:5" ht="19" x14ac:dyDescent="0.25">
      <c r="A11" s="16" t="s">
        <v>251</v>
      </c>
      <c r="B11" s="25" t="s">
        <v>252</v>
      </c>
      <c r="C11" s="42">
        <v>0.2</v>
      </c>
      <c r="D11" s="93"/>
      <c r="E11" s="93"/>
    </row>
    <row r="12" spans="1:5" ht="19" x14ac:dyDescent="0.25">
      <c r="A12" s="16" t="s">
        <v>502</v>
      </c>
      <c r="B12" s="25" t="s">
        <v>255</v>
      </c>
      <c r="C12" s="43">
        <f>6/12</f>
        <v>0.5</v>
      </c>
      <c r="D12" s="93" t="s">
        <v>529</v>
      </c>
      <c r="E12" s="93"/>
    </row>
    <row r="13" spans="1:5" ht="19" x14ac:dyDescent="0.25">
      <c r="A13" s="16" t="s">
        <v>530</v>
      </c>
      <c r="B13" s="25" t="s">
        <v>295</v>
      </c>
      <c r="C13" s="42">
        <v>0.01</v>
      </c>
      <c r="D13" s="93" t="s">
        <v>531</v>
      </c>
      <c r="E13" s="93"/>
    </row>
    <row r="15" spans="1:5" ht="24" customHeight="1" x14ac:dyDescent="0.2">
      <c r="A15" s="91" t="s">
        <v>257</v>
      </c>
      <c r="B15" s="91"/>
      <c r="C15" s="91"/>
      <c r="D15" s="91"/>
      <c r="E15" s="91"/>
    </row>
    <row r="16" spans="1:5" ht="21.75" customHeight="1" x14ac:dyDescent="0.2">
      <c r="A16" s="40" t="s">
        <v>258</v>
      </c>
      <c r="B16" s="40" t="s">
        <v>240</v>
      </c>
      <c r="C16" s="40" t="s">
        <v>259</v>
      </c>
      <c r="D16" s="40" t="s">
        <v>260</v>
      </c>
      <c r="E16" s="40" t="s">
        <v>261</v>
      </c>
    </row>
    <row r="17" spans="1:5" ht="30" customHeight="1" x14ac:dyDescent="0.25">
      <c r="A17" s="16" t="s">
        <v>297</v>
      </c>
      <c r="B17" s="25" t="s">
        <v>298</v>
      </c>
      <c r="C17" s="44" t="s">
        <v>532</v>
      </c>
      <c r="D17" s="45">
        <f>NORMSINV($C$13)</f>
        <v>-2.3263478740408408</v>
      </c>
      <c r="E17" s="46" t="s">
        <v>533</v>
      </c>
    </row>
    <row r="18" spans="1:5" ht="30" customHeight="1" x14ac:dyDescent="0.25">
      <c r="A18" s="16" t="s">
        <v>508</v>
      </c>
      <c r="B18" s="25" t="s">
        <v>271</v>
      </c>
      <c r="C18" s="44" t="s">
        <v>272</v>
      </c>
      <c r="D18" s="45">
        <f>$C$11*SQRT($C$12)</f>
        <v>0.14142135623730953</v>
      </c>
      <c r="E18" s="46" t="s">
        <v>273</v>
      </c>
    </row>
    <row r="19" spans="1:5" ht="30" customHeight="1" x14ac:dyDescent="0.25">
      <c r="A19" s="16" t="s">
        <v>534</v>
      </c>
      <c r="B19" s="25" t="s">
        <v>267</v>
      </c>
      <c r="C19" s="44" t="s">
        <v>268</v>
      </c>
      <c r="D19" s="45">
        <f>($C$10-$C$11^2/2)*$C$12</f>
        <v>0.03</v>
      </c>
      <c r="E19" s="46" t="s">
        <v>269</v>
      </c>
    </row>
    <row r="20" spans="1:5" ht="30" customHeight="1" x14ac:dyDescent="0.25">
      <c r="A20" s="16" t="s">
        <v>535</v>
      </c>
      <c r="B20" s="25" t="s">
        <v>247</v>
      </c>
      <c r="C20" s="44" t="s">
        <v>536</v>
      </c>
      <c r="D20" s="63">
        <f>$C$9*EXP($D$19+$D$17*$D$18)</f>
        <v>59.325033276909693</v>
      </c>
      <c r="E20" s="46" t="s">
        <v>537</v>
      </c>
    </row>
    <row r="21" spans="1:5" ht="30" customHeight="1" x14ac:dyDescent="0.25">
      <c r="A21" s="25" t="s">
        <v>538</v>
      </c>
      <c r="B21" s="25" t="s">
        <v>539</v>
      </c>
      <c r="C21" s="44" t="s">
        <v>540</v>
      </c>
      <c r="D21" s="70">
        <f>$C$8*$D$20</f>
        <v>593250.33276909695</v>
      </c>
      <c r="E21" s="46" t="s">
        <v>541</v>
      </c>
    </row>
    <row r="22" spans="1:5" ht="30" customHeight="1" x14ac:dyDescent="0.25">
      <c r="A22" s="16" t="s">
        <v>542</v>
      </c>
      <c r="B22" s="25" t="s">
        <v>543</v>
      </c>
      <c r="C22" s="44" t="s">
        <v>544</v>
      </c>
      <c r="D22" s="73">
        <f>$C$8*$C$9-$D$21</f>
        <v>206749.66723090305</v>
      </c>
      <c r="E22" s="46" t="s">
        <v>545</v>
      </c>
    </row>
    <row r="24" spans="1:5" ht="33.75" customHeight="1" x14ac:dyDescent="0.2">
      <c r="A24" s="94" t="str">
        <f>"Worst-case value in 6 months = "&amp;TEXT($D$21,"$#,##0")&amp;" against "&amp;TEXT($C$8*$C$9,"$#,##0")&amp;" today (1% chance of losing more than "&amp;TEXT($D$22,"$#,##0")&amp;")."</f>
        <v>Worst-case value in 6 months = $5,93,250 against $8,00,000 today (1% chance of losing more than $2,06,750).</v>
      </c>
      <c r="B24" s="94"/>
      <c r="C24" s="94"/>
      <c r="D24" s="94"/>
      <c r="E24" s="94"/>
    </row>
    <row r="26" spans="1:5" ht="24" customHeight="1" x14ac:dyDescent="0.2">
      <c r="A26" s="91" t="s">
        <v>282</v>
      </c>
      <c r="B26" s="91"/>
      <c r="C26" s="91"/>
      <c r="D26" s="91"/>
      <c r="E26" s="91"/>
    </row>
    <row r="27" spans="1:5" ht="21.75" customHeight="1" x14ac:dyDescent="0.2">
      <c r="A27" s="40" t="s">
        <v>283</v>
      </c>
      <c r="B27" s="40"/>
      <c r="C27" s="40" t="s">
        <v>284</v>
      </c>
      <c r="D27" s="40" t="s">
        <v>285</v>
      </c>
      <c r="E27" s="40" t="s">
        <v>286</v>
      </c>
    </row>
    <row r="28" spans="1:5" ht="19" x14ac:dyDescent="0.25">
      <c r="A28" s="16" t="s">
        <v>43</v>
      </c>
      <c r="B28" s="48"/>
      <c r="C28" s="71">
        <v>593250.32999999996</v>
      </c>
      <c r="D28" s="72">
        <f>$D$21</f>
        <v>593250.33276909695</v>
      </c>
      <c r="E28" s="18" t="str">
        <f>IF(ABS($D$21-C28)&lt;=1,"MATCH","CHECK")</f>
        <v>MATCH</v>
      </c>
    </row>
    <row r="30" spans="1:5" ht="30" customHeight="1" x14ac:dyDescent="0.2">
      <c r="A30" s="6" t="s">
        <v>546</v>
      </c>
      <c r="B30" s="6"/>
      <c r="C30" s="6"/>
      <c r="D30" s="6"/>
      <c r="E30" s="6"/>
    </row>
    <row r="31" spans="1:5" ht="30" customHeight="1" x14ac:dyDescent="0.2">
      <c r="A31" s="6"/>
      <c r="B31" s="6"/>
      <c r="C31" s="6"/>
      <c r="D31" s="6"/>
      <c r="E31" s="6"/>
    </row>
  </sheetData>
  <mergeCells count="15">
    <mergeCell ref="D13:E13"/>
    <mergeCell ref="A15:E15"/>
    <mergeCell ref="A24:E24"/>
    <mergeCell ref="A26:E26"/>
    <mergeCell ref="A30:E31"/>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1E7F82"/>
    <pageSetUpPr fitToPage="1"/>
  </sheetPr>
  <dimension ref="A1:E41"/>
  <sheetViews>
    <sheetView showGridLines="0" topLeftCell="A7" zoomScaleNormal="100" workbookViewId="0">
      <selection activeCell="C19" sqref="C19"/>
    </sheetView>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547</v>
      </c>
      <c r="B1" s="3"/>
      <c r="C1" s="3"/>
      <c r="D1" s="3"/>
      <c r="E1" s="3"/>
    </row>
    <row r="2" spans="1:5" ht="36" customHeight="1" x14ac:dyDescent="0.2">
      <c r="A2" s="2" t="s">
        <v>548</v>
      </c>
      <c r="B2" s="2"/>
      <c r="C2" s="2"/>
      <c r="D2" s="2"/>
      <c r="E2" s="2"/>
    </row>
    <row r="3" spans="1:5" ht="19.5" customHeight="1" x14ac:dyDescent="0.2">
      <c r="A3" s="1" t="s">
        <v>549</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550</v>
      </c>
      <c r="B8" s="25" t="s">
        <v>334</v>
      </c>
      <c r="C8" s="62">
        <v>10000</v>
      </c>
      <c r="D8" s="93"/>
      <c r="E8" s="93"/>
    </row>
    <row r="9" spans="1:5" ht="19" x14ac:dyDescent="0.25">
      <c r="A9" s="16" t="s">
        <v>551</v>
      </c>
      <c r="B9" s="25" t="s">
        <v>244</v>
      </c>
      <c r="C9" s="61">
        <v>140</v>
      </c>
      <c r="D9" s="93"/>
      <c r="E9" s="93"/>
    </row>
    <row r="10" spans="1:5" ht="19" x14ac:dyDescent="0.25">
      <c r="A10" s="16" t="s">
        <v>552</v>
      </c>
      <c r="B10" s="25" t="s">
        <v>249</v>
      </c>
      <c r="C10" s="42">
        <v>0.1</v>
      </c>
      <c r="D10" s="93"/>
      <c r="E10" s="93"/>
    </row>
    <row r="11" spans="1:5" ht="19" x14ac:dyDescent="0.25">
      <c r="A11" s="16" t="s">
        <v>553</v>
      </c>
      <c r="B11" s="25" t="s">
        <v>252</v>
      </c>
      <c r="C11" s="42">
        <v>0.05</v>
      </c>
      <c r="D11" s="93"/>
      <c r="E11" s="93"/>
    </row>
    <row r="12" spans="1:5" ht="19" x14ac:dyDescent="0.25">
      <c r="A12" s="16" t="s">
        <v>554</v>
      </c>
      <c r="B12" s="25" t="s">
        <v>255</v>
      </c>
      <c r="C12" s="43">
        <v>1</v>
      </c>
      <c r="D12" s="93"/>
      <c r="E12" s="93"/>
    </row>
    <row r="13" spans="1:5" ht="19" x14ac:dyDescent="0.25">
      <c r="A13" s="16" t="s">
        <v>555</v>
      </c>
      <c r="B13" s="25" t="s">
        <v>295</v>
      </c>
      <c r="C13" s="42">
        <v>0.01</v>
      </c>
      <c r="D13" s="93"/>
      <c r="E13" s="93"/>
    </row>
    <row r="14" spans="1:5" ht="19" x14ac:dyDescent="0.25">
      <c r="A14" s="16" t="s">
        <v>556</v>
      </c>
      <c r="B14" s="25" t="s">
        <v>334</v>
      </c>
      <c r="C14" s="62">
        <v>1000</v>
      </c>
      <c r="D14" s="93"/>
      <c r="E14" s="93"/>
    </row>
    <row r="15" spans="1:5" ht="19" x14ac:dyDescent="0.25">
      <c r="A15" s="16" t="s">
        <v>557</v>
      </c>
      <c r="B15" s="25" t="s">
        <v>244</v>
      </c>
      <c r="C15" s="61">
        <v>800</v>
      </c>
      <c r="D15" s="93"/>
      <c r="E15" s="93"/>
    </row>
    <row r="16" spans="1:5" ht="19" x14ac:dyDescent="0.25">
      <c r="A16" s="16" t="s">
        <v>558</v>
      </c>
      <c r="B16" s="25" t="s">
        <v>249</v>
      </c>
      <c r="C16" s="42">
        <v>0.08</v>
      </c>
      <c r="D16" s="93"/>
      <c r="E16" s="93"/>
    </row>
    <row r="17" spans="1:5" ht="19" x14ac:dyDescent="0.25">
      <c r="A17" s="16" t="s">
        <v>559</v>
      </c>
      <c r="B17" s="25" t="s">
        <v>252</v>
      </c>
      <c r="C17" s="42">
        <v>0.15</v>
      </c>
      <c r="D17" s="93"/>
      <c r="E17" s="93"/>
    </row>
    <row r="18" spans="1:5" ht="19" x14ac:dyDescent="0.25">
      <c r="A18" s="16" t="s">
        <v>560</v>
      </c>
      <c r="B18" s="25" t="s">
        <v>255</v>
      </c>
      <c r="C18" s="43">
        <v>0.5</v>
      </c>
      <c r="D18" s="93" t="s">
        <v>529</v>
      </c>
      <c r="E18" s="93"/>
    </row>
    <row r="19" spans="1:5" ht="19" x14ac:dyDescent="0.25">
      <c r="A19" s="16" t="s">
        <v>561</v>
      </c>
      <c r="B19" s="25" t="s">
        <v>295</v>
      </c>
      <c r="C19" s="42">
        <v>0.02</v>
      </c>
      <c r="D19" s="93"/>
      <c r="E19" s="93"/>
    </row>
    <row r="21" spans="1:5" ht="24" customHeight="1" x14ac:dyDescent="0.2">
      <c r="A21" s="91" t="s">
        <v>257</v>
      </c>
      <c r="B21" s="91"/>
      <c r="C21" s="91"/>
      <c r="D21" s="91"/>
      <c r="E21" s="91"/>
    </row>
    <row r="22" spans="1:5" ht="21.75" customHeight="1" x14ac:dyDescent="0.2">
      <c r="A22" s="40" t="s">
        <v>258</v>
      </c>
      <c r="B22" s="40" t="s">
        <v>240</v>
      </c>
      <c r="C22" s="40" t="s">
        <v>259</v>
      </c>
      <c r="D22" s="40" t="s">
        <v>260</v>
      </c>
      <c r="E22" s="40" t="s">
        <v>261</v>
      </c>
    </row>
    <row r="23" spans="1:5" ht="30" customHeight="1" x14ac:dyDescent="0.25">
      <c r="A23" s="16" t="s">
        <v>562</v>
      </c>
      <c r="B23" s="25" t="s">
        <v>563</v>
      </c>
      <c r="C23" s="44" t="s">
        <v>564</v>
      </c>
      <c r="D23" s="45">
        <f>($C$10-$C$11^2/2)*$C$12+NORMSINV($C$13)*$C$11*SQRT($C$12)</f>
        <v>-1.7567393702042036E-2</v>
      </c>
      <c r="E23" s="46" t="s">
        <v>565</v>
      </c>
    </row>
    <row r="24" spans="1:5" ht="30" customHeight="1" x14ac:dyDescent="0.25">
      <c r="A24" s="16" t="s">
        <v>566</v>
      </c>
      <c r="B24" s="25" t="s">
        <v>567</v>
      </c>
      <c r="C24" s="44" t="s">
        <v>568</v>
      </c>
      <c r="D24" s="74">
        <f>$C$9*EXP($D$23)</f>
        <v>137.56204186544417</v>
      </c>
      <c r="E24" s="46" t="s">
        <v>569</v>
      </c>
    </row>
    <row r="25" spans="1:5" ht="30" customHeight="1" x14ac:dyDescent="0.25">
      <c r="A25" s="25" t="s">
        <v>570</v>
      </c>
      <c r="B25" s="25" t="s">
        <v>571</v>
      </c>
      <c r="C25" s="44" t="s">
        <v>515</v>
      </c>
      <c r="D25" s="75">
        <f>$C$8*($C$9-$D$24)</f>
        <v>24379.581345558279</v>
      </c>
      <c r="E25" s="46" t="s">
        <v>572</v>
      </c>
    </row>
    <row r="26" spans="1:5" ht="30" customHeight="1" x14ac:dyDescent="0.25">
      <c r="A26" s="16" t="s">
        <v>573</v>
      </c>
      <c r="B26" s="25" t="s">
        <v>574</v>
      </c>
      <c r="C26" s="44" t="s">
        <v>564</v>
      </c>
      <c r="D26" s="45">
        <f>($C$16-$C$17^2/2)*$C$18+NORMSINV($C$19)*$C$17*SQRT($C$18)</f>
        <v>-0.18345796723433699</v>
      </c>
      <c r="E26" s="46" t="s">
        <v>575</v>
      </c>
    </row>
    <row r="27" spans="1:5" ht="30" customHeight="1" x14ac:dyDescent="0.25">
      <c r="A27" s="16" t="s">
        <v>576</v>
      </c>
      <c r="B27" s="25" t="s">
        <v>577</v>
      </c>
      <c r="C27" s="44" t="s">
        <v>568</v>
      </c>
      <c r="D27" s="74">
        <f>$C$15*EXP($D$26)</f>
        <v>665.9094900196219</v>
      </c>
      <c r="E27" s="46" t="s">
        <v>578</v>
      </c>
    </row>
    <row r="28" spans="1:5" ht="30" customHeight="1" x14ac:dyDescent="0.25">
      <c r="A28" s="25" t="s">
        <v>579</v>
      </c>
      <c r="B28" s="25" t="s">
        <v>580</v>
      </c>
      <c r="C28" s="44" t="s">
        <v>515</v>
      </c>
      <c r="D28" s="75">
        <f>$C$14*($C$15-$D$27)</f>
        <v>134090.50998037809</v>
      </c>
      <c r="E28" s="46" t="s">
        <v>581</v>
      </c>
    </row>
    <row r="30" spans="1:5" ht="33.75" customHeight="1" x14ac:dyDescent="0.2">
      <c r="A30" s="94" t="str">
        <f>"PNB worst-case loss "&amp;TEXT($D$25,"₹#,##0")&amp;";  SBI worst-case loss "&amp;TEXT($D$28,"₹#,##0")&amp;" — note the ×T on the SBI drift (6-month horizon)."</f>
        <v>PNB worst-case loss ₹24,380;  SBI worst-case loss ₹1,34,091 — note the ×T on the SBI drift (6-month horizon).</v>
      </c>
      <c r="B30" s="94"/>
      <c r="C30" s="94"/>
      <c r="D30" s="94"/>
      <c r="E30" s="94"/>
    </row>
    <row r="32" spans="1:5" ht="24" customHeight="1" x14ac:dyDescent="0.2">
      <c r="A32" s="91" t="s">
        <v>582</v>
      </c>
      <c r="B32" s="91"/>
      <c r="C32" s="91"/>
      <c r="D32" s="91"/>
      <c r="E32" s="91"/>
    </row>
    <row r="33" spans="1:5" ht="19" x14ac:dyDescent="0.25">
      <c r="A33" s="55" t="s">
        <v>583</v>
      </c>
      <c r="B33" s="76">
        <v>0.05</v>
      </c>
      <c r="C33" s="76">
        <v>7.0000000000000007E-2</v>
      </c>
      <c r="D33" s="76">
        <v>0.09</v>
      </c>
      <c r="E33" s="76">
        <v>0.1</v>
      </c>
    </row>
    <row r="34" spans="1:5" ht="19" x14ac:dyDescent="0.25">
      <c r="A34" s="77">
        <v>0.05</v>
      </c>
      <c r="B34" s="78">
        <f t="shared" ref="B34:E38" si="0">$C$8*$C$9-$C$8*$C$9*EXP((B$33-$A34^2/2)*$C$12+NORMSINV($C$13)*$A34*SQRT($C$12))</f>
        <v>91469.380831904011</v>
      </c>
      <c r="C34" s="78">
        <f t="shared" si="0"/>
        <v>65035.308858668199</v>
      </c>
      <c r="D34" s="78">
        <f t="shared" si="0"/>
        <v>38067.233209209051</v>
      </c>
      <c r="E34" s="78">
        <f t="shared" si="0"/>
        <v>24379.581345558399</v>
      </c>
    </row>
    <row r="35" spans="1:5" ht="19" x14ac:dyDescent="0.25">
      <c r="A35" s="77">
        <v>0.08</v>
      </c>
      <c r="B35" s="78">
        <f t="shared" si="0"/>
        <v>182055.73755897</v>
      </c>
      <c r="C35" s="78">
        <f t="shared" si="0"/>
        <v>157451.63137976243</v>
      </c>
      <c r="D35" s="78">
        <f t="shared" si="0"/>
        <v>132350.48928557429</v>
      </c>
      <c r="E35" s="78">
        <f t="shared" si="0"/>
        <v>119610.39989873045</v>
      </c>
    </row>
    <row r="36" spans="1:5" ht="19" x14ac:dyDescent="0.25">
      <c r="A36" s="77">
        <v>0.1</v>
      </c>
      <c r="B36" s="78">
        <f t="shared" si="0"/>
        <v>239515.66376070841</v>
      </c>
      <c r="C36" s="78">
        <f t="shared" si="0"/>
        <v>216072.32508861437</v>
      </c>
      <c r="D36" s="78">
        <f t="shared" si="0"/>
        <v>192155.39956064313</v>
      </c>
      <c r="E36" s="78">
        <f t="shared" si="0"/>
        <v>180016.35951451724</v>
      </c>
    </row>
    <row r="37" spans="1:5" ht="19" x14ac:dyDescent="0.25">
      <c r="A37" s="77">
        <v>0.12</v>
      </c>
      <c r="B37" s="78">
        <f t="shared" si="0"/>
        <v>294706.96292424668</v>
      </c>
      <c r="C37" s="78">
        <f t="shared" si="0"/>
        <v>272378.56245307368</v>
      </c>
      <c r="D37" s="78">
        <f t="shared" si="0"/>
        <v>249599.09837172902</v>
      </c>
      <c r="E37" s="78">
        <f t="shared" si="0"/>
        <v>238037.37709658756</v>
      </c>
    </row>
    <row r="38" spans="1:5" ht="19" x14ac:dyDescent="0.25">
      <c r="A38" s="77">
        <v>0.2</v>
      </c>
      <c r="B38" s="78">
        <f t="shared" si="0"/>
        <v>494073.71391558845</v>
      </c>
      <c r="C38" s="78">
        <f t="shared" si="0"/>
        <v>475772.78897122119</v>
      </c>
      <c r="D38" s="78">
        <f t="shared" si="0"/>
        <v>457102.16081924853</v>
      </c>
      <c r="E38" s="78">
        <f t="shared" si="0"/>
        <v>447625.87999218097</v>
      </c>
    </row>
    <row r="40" spans="1:5" ht="30" customHeight="1" x14ac:dyDescent="0.2">
      <c r="A40" s="6" t="s">
        <v>584</v>
      </c>
      <c r="B40" s="6"/>
      <c r="C40" s="6"/>
      <c r="D40" s="6"/>
      <c r="E40" s="6"/>
    </row>
    <row r="41" spans="1:5" ht="30" customHeight="1" x14ac:dyDescent="0.2">
      <c r="A41" s="6"/>
      <c r="B41" s="6"/>
      <c r="C41" s="6"/>
      <c r="D41" s="6"/>
      <c r="E41" s="6"/>
    </row>
  </sheetData>
  <mergeCells count="21">
    <mergeCell ref="A40:E41"/>
    <mergeCell ref="D18:E18"/>
    <mergeCell ref="D19:E19"/>
    <mergeCell ref="A21:E21"/>
    <mergeCell ref="A30:E30"/>
    <mergeCell ref="A32:E32"/>
    <mergeCell ref="D13:E13"/>
    <mergeCell ref="D14:E14"/>
    <mergeCell ref="D15:E15"/>
    <mergeCell ref="D16:E16"/>
    <mergeCell ref="D17:E17"/>
    <mergeCell ref="D8:E8"/>
    <mergeCell ref="D9:E9"/>
    <mergeCell ref="D10:E10"/>
    <mergeCell ref="D11:E11"/>
    <mergeCell ref="D12:E12"/>
    <mergeCell ref="A1:E1"/>
    <mergeCell ref="A2:E2"/>
    <mergeCell ref="A3:E3"/>
    <mergeCell ref="A6:E6"/>
    <mergeCell ref="D7:E7"/>
  </mergeCells>
  <conditionalFormatting sqref="B34:E38">
    <cfRule type="colorScale" priority="2">
      <colorScale>
        <cfvo type="min"/>
        <cfvo type="max"/>
        <color rgb="FFFFFFFF"/>
        <color rgb="FFE69C92"/>
      </colorScale>
    </cfRule>
  </conditionalFormatting>
  <pageMargins left="0.75" right="0.75" top="1" bottom="1" header="0.511811023622047" footer="0.511811023622047"/>
  <pageSetup fitToHeight="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1E7F82"/>
    <pageSetUpPr fitToPage="1"/>
  </sheetPr>
  <dimension ref="A1:E34"/>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585</v>
      </c>
      <c r="B1" s="3"/>
      <c r="C1" s="3"/>
      <c r="D1" s="3"/>
      <c r="E1" s="3"/>
    </row>
    <row r="2" spans="1:5" ht="36" customHeight="1" x14ac:dyDescent="0.2">
      <c r="A2" s="2" t="s">
        <v>586</v>
      </c>
      <c r="B2" s="2"/>
      <c r="C2" s="2"/>
      <c r="D2" s="2"/>
      <c r="E2" s="2"/>
    </row>
    <row r="3" spans="1:5" ht="19.5" customHeight="1" x14ac:dyDescent="0.2">
      <c r="A3" s="1" t="s">
        <v>587</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243</v>
      </c>
      <c r="B8" s="25" t="s">
        <v>244</v>
      </c>
      <c r="C8" s="41">
        <v>50</v>
      </c>
      <c r="D8" s="93"/>
      <c r="E8" s="93"/>
    </row>
    <row r="9" spans="1:5" ht="19" x14ac:dyDescent="0.25">
      <c r="A9" s="16" t="s">
        <v>365</v>
      </c>
      <c r="B9" s="25" t="s">
        <v>366</v>
      </c>
      <c r="C9" s="41">
        <v>55</v>
      </c>
      <c r="D9" s="93"/>
      <c r="E9" s="93"/>
    </row>
    <row r="10" spans="1:5" ht="19" x14ac:dyDescent="0.25">
      <c r="A10" s="16" t="s">
        <v>367</v>
      </c>
      <c r="B10" s="25" t="s">
        <v>368</v>
      </c>
      <c r="C10" s="42">
        <v>0.03</v>
      </c>
      <c r="D10" s="93" t="s">
        <v>588</v>
      </c>
      <c r="E10" s="93"/>
    </row>
    <row r="11" spans="1:5" ht="19" x14ac:dyDescent="0.25">
      <c r="A11" s="16" t="s">
        <v>406</v>
      </c>
      <c r="B11" s="25" t="s">
        <v>249</v>
      </c>
      <c r="C11" s="42">
        <v>0.1</v>
      </c>
      <c r="D11" s="93" t="s">
        <v>589</v>
      </c>
      <c r="E11" s="93"/>
    </row>
    <row r="12" spans="1:5" ht="19" x14ac:dyDescent="0.25">
      <c r="A12" s="16" t="s">
        <v>251</v>
      </c>
      <c r="B12" s="25" t="s">
        <v>252</v>
      </c>
      <c r="C12" s="42">
        <v>0.3</v>
      </c>
      <c r="D12" s="93" t="s">
        <v>590</v>
      </c>
      <c r="E12" s="93"/>
    </row>
    <row r="13" spans="1:5" ht="19" x14ac:dyDescent="0.25">
      <c r="A13" s="16" t="s">
        <v>591</v>
      </c>
      <c r="B13" s="25" t="s">
        <v>255</v>
      </c>
      <c r="C13" s="43">
        <v>2</v>
      </c>
      <c r="D13" s="93"/>
      <c r="E13" s="93"/>
    </row>
    <row r="14" spans="1:5" ht="19" x14ac:dyDescent="0.25">
      <c r="A14" s="16" t="s">
        <v>592</v>
      </c>
      <c r="B14" s="25" t="s">
        <v>593</v>
      </c>
      <c r="C14" s="43">
        <v>0.5</v>
      </c>
      <c r="D14" s="93" t="s">
        <v>529</v>
      </c>
      <c r="E14" s="93"/>
    </row>
    <row r="15" spans="1:5" ht="19" x14ac:dyDescent="0.25">
      <c r="A15" s="16" t="s">
        <v>530</v>
      </c>
      <c r="B15" s="25" t="s">
        <v>295</v>
      </c>
      <c r="C15" s="42">
        <v>0.01</v>
      </c>
      <c r="D15" s="93"/>
      <c r="E15" s="93"/>
    </row>
    <row r="16" spans="1:5" ht="19" x14ac:dyDescent="0.25">
      <c r="A16" s="16" t="s">
        <v>371</v>
      </c>
      <c r="B16" s="25" t="s">
        <v>334</v>
      </c>
      <c r="C16" s="62">
        <v>1000000</v>
      </c>
      <c r="D16" s="93"/>
      <c r="E16" s="93"/>
    </row>
    <row r="18" spans="1:5" ht="24" customHeight="1" x14ac:dyDescent="0.2">
      <c r="A18" s="91" t="s">
        <v>257</v>
      </c>
      <c r="B18" s="91"/>
      <c r="C18" s="91"/>
      <c r="D18" s="91"/>
      <c r="E18" s="91"/>
    </row>
    <row r="19" spans="1:5" ht="21.75" customHeight="1" x14ac:dyDescent="0.2">
      <c r="A19" s="40" t="s">
        <v>258</v>
      </c>
      <c r="B19" s="40" t="s">
        <v>240</v>
      </c>
      <c r="C19" s="40" t="s">
        <v>259</v>
      </c>
      <c r="D19" s="40" t="s">
        <v>260</v>
      </c>
      <c r="E19" s="40" t="s">
        <v>261</v>
      </c>
    </row>
    <row r="20" spans="1:5" ht="30" customHeight="1" x14ac:dyDescent="0.25">
      <c r="A20" s="16" t="s">
        <v>594</v>
      </c>
      <c r="B20" s="25" t="s">
        <v>595</v>
      </c>
      <c r="C20" s="44" t="s">
        <v>596</v>
      </c>
      <c r="D20" s="79">
        <f>($C$9*EXP(-$C$10*$C$13)-$C$8)*$C$16/1000000</f>
        <v>1.7970493471336795</v>
      </c>
      <c r="E20" s="46" t="s">
        <v>597</v>
      </c>
    </row>
    <row r="21" spans="1:5" ht="30" customHeight="1" x14ac:dyDescent="0.25">
      <c r="A21" s="16" t="s">
        <v>598</v>
      </c>
      <c r="B21" s="25" t="s">
        <v>599</v>
      </c>
      <c r="C21" s="44" t="s">
        <v>600</v>
      </c>
      <c r="D21" s="63">
        <f>$C$8*EXP(($C$11-$C$12^2/2)*$C$14-NORMSINV($C$15)*$C$12*SQRT($C$14))</f>
        <v>84.184928818105362</v>
      </c>
      <c r="E21" s="46" t="s">
        <v>601</v>
      </c>
    </row>
    <row r="22" spans="1:5" ht="30" customHeight="1" x14ac:dyDescent="0.25">
      <c r="A22" s="16" t="s">
        <v>602</v>
      </c>
      <c r="B22" s="25" t="s">
        <v>603</v>
      </c>
      <c r="C22" s="44" t="s">
        <v>604</v>
      </c>
      <c r="D22" s="80">
        <f>$C$13-$C$14</f>
        <v>1.5</v>
      </c>
      <c r="E22" s="46" t="s">
        <v>605</v>
      </c>
    </row>
    <row r="23" spans="1:5" ht="30" customHeight="1" x14ac:dyDescent="0.25">
      <c r="A23" s="16" t="s">
        <v>606</v>
      </c>
      <c r="B23" s="25" t="s">
        <v>377</v>
      </c>
      <c r="C23" s="44" t="s">
        <v>607</v>
      </c>
      <c r="D23" s="63">
        <f>$C$9*EXP(-$C$10*$D$22)</f>
        <v>52.579861500820499</v>
      </c>
      <c r="E23" s="46" t="s">
        <v>608</v>
      </c>
    </row>
    <row r="24" spans="1:5" ht="30" customHeight="1" x14ac:dyDescent="0.25">
      <c r="A24" s="16" t="s">
        <v>609</v>
      </c>
      <c r="B24" s="25" t="s">
        <v>610</v>
      </c>
      <c r="C24" s="44" t="s">
        <v>611</v>
      </c>
      <c r="D24" s="63">
        <f>$D$23-$D$21</f>
        <v>-31.605067317284863</v>
      </c>
      <c r="E24" s="46" t="s">
        <v>612</v>
      </c>
    </row>
    <row r="25" spans="1:5" ht="30" customHeight="1" x14ac:dyDescent="0.25">
      <c r="A25" s="25" t="s">
        <v>613</v>
      </c>
      <c r="B25" s="25" t="s">
        <v>614</v>
      </c>
      <c r="C25" s="44" t="s">
        <v>615</v>
      </c>
      <c r="D25" s="64">
        <f>$C$16*$D$24/1000000</f>
        <v>-31.605067317284863</v>
      </c>
      <c r="E25" s="46" t="s">
        <v>616</v>
      </c>
    </row>
    <row r="27" spans="1:5" ht="33.75" customHeight="1" x14ac:dyDescent="0.2">
      <c r="A27" s="95" t="str">
        <f>"Worth "&amp;TEXT($D$20,"$0.00")&amp;" mn today; 1% chance of being worth less than "&amp;TEXT($D$25,"$0.00")&amp;" mn in six months."</f>
        <v>Worth $1.80 mn today; 1% chance of being worth less than -$31.61 mn in six months.</v>
      </c>
      <c r="B27" s="95"/>
      <c r="C27" s="95"/>
      <c r="D27" s="95"/>
      <c r="E27" s="95"/>
    </row>
    <row r="29" spans="1:5" ht="24" customHeight="1" x14ac:dyDescent="0.2">
      <c r="A29" s="91" t="s">
        <v>282</v>
      </c>
      <c r="B29" s="91"/>
      <c r="C29" s="91"/>
      <c r="D29" s="91"/>
      <c r="E29" s="91"/>
    </row>
    <row r="30" spans="1:5" ht="21.75" customHeight="1" x14ac:dyDescent="0.2">
      <c r="A30" s="40" t="s">
        <v>283</v>
      </c>
      <c r="B30" s="40"/>
      <c r="C30" s="40" t="s">
        <v>284</v>
      </c>
      <c r="D30" s="40" t="s">
        <v>285</v>
      </c>
      <c r="E30" s="40" t="s">
        <v>286</v>
      </c>
    </row>
    <row r="31" spans="1:5" ht="19" x14ac:dyDescent="0.25">
      <c r="A31" s="16" t="s">
        <v>617</v>
      </c>
      <c r="B31" s="48"/>
      <c r="C31" s="65">
        <v>-31.61</v>
      </c>
      <c r="D31" s="66">
        <f>$D$25</f>
        <v>-31.605067317284863</v>
      </c>
      <c r="E31" s="18" t="str">
        <f>IF(ABS($D$25-C31)&lt;=0.01,"MATCH","CHECK")</f>
        <v>MATCH</v>
      </c>
    </row>
    <row r="33" spans="1:5" ht="34.5" customHeight="1" x14ac:dyDescent="0.2">
      <c r="A33" s="6" t="s">
        <v>618</v>
      </c>
      <c r="B33" s="6"/>
      <c r="C33" s="6"/>
      <c r="D33" s="6"/>
      <c r="E33" s="6"/>
    </row>
    <row r="34" spans="1:5" ht="34.5" customHeight="1" x14ac:dyDescent="0.2">
      <c r="A34" s="6"/>
      <c r="B34" s="6"/>
      <c r="C34" s="6"/>
      <c r="D34" s="6"/>
      <c r="E34" s="6"/>
    </row>
  </sheetData>
  <mergeCells count="18">
    <mergeCell ref="A27:E27"/>
    <mergeCell ref="A29:E29"/>
    <mergeCell ref="A33:E34"/>
    <mergeCell ref="D13:E13"/>
    <mergeCell ref="D14:E14"/>
    <mergeCell ref="D15:E15"/>
    <mergeCell ref="D16:E16"/>
    <mergeCell ref="A18:E18"/>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1E7F82"/>
    <pageSetUpPr fitToPage="1"/>
  </sheetPr>
  <dimension ref="A1:J1005"/>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6" width="3" customWidth="1"/>
    <col min="7" max="7" width="10" customWidth="1"/>
    <col min="8" max="8" width="12" customWidth="1"/>
    <col min="9" max="9" width="14" customWidth="1"/>
    <col min="10" max="10" width="16" customWidth="1"/>
  </cols>
  <sheetData>
    <row r="1" spans="1:10" ht="31.5" customHeight="1" x14ac:dyDescent="0.2">
      <c r="A1" s="3" t="s">
        <v>619</v>
      </c>
      <c r="B1" s="3"/>
      <c r="C1" s="3"/>
      <c r="D1" s="3"/>
      <c r="E1" s="3"/>
    </row>
    <row r="2" spans="1:10" ht="36" customHeight="1" x14ac:dyDescent="0.2">
      <c r="A2" s="2" t="s">
        <v>620</v>
      </c>
      <c r="B2" s="2"/>
      <c r="C2" s="2"/>
      <c r="D2" s="2"/>
      <c r="E2" s="2"/>
    </row>
    <row r="3" spans="1:10" ht="19.5" customHeight="1" x14ac:dyDescent="0.2">
      <c r="A3" s="1" t="s">
        <v>621</v>
      </c>
      <c r="B3" s="1"/>
      <c r="C3" s="1"/>
      <c r="D3" s="1"/>
      <c r="E3" s="1"/>
    </row>
    <row r="5" spans="1:10" ht="40" x14ac:dyDescent="0.25">
      <c r="G5" s="81" t="s">
        <v>622</v>
      </c>
      <c r="H5" s="81" t="s">
        <v>623</v>
      </c>
      <c r="I5" s="81" t="s">
        <v>624</v>
      </c>
      <c r="J5" s="81" t="s">
        <v>625</v>
      </c>
    </row>
    <row r="6" spans="1:10" ht="24" customHeight="1" x14ac:dyDescent="0.2">
      <c r="A6" s="91" t="s">
        <v>238</v>
      </c>
      <c r="B6" s="91"/>
      <c r="C6" s="91"/>
      <c r="D6" s="91"/>
      <c r="E6" s="91"/>
      <c r="G6" s="82">
        <v>1</v>
      </c>
      <c r="H6" s="83">
        <v>-0.94457599999999997</v>
      </c>
      <c r="I6" s="84">
        <f t="shared" ref="I6:I69" si="0">$C$8*EXP(($C$11-$C$12^2/2)*$C$14+H6*$C$12*SQRT($C$14))</f>
        <v>42.062145395244919</v>
      </c>
      <c r="J6" s="85">
        <f t="shared" ref="J6:J69" si="1">($C$9*EXP(-$C$10*($C$13-$C$14))-I6)*$C$15/1000000</f>
        <v>10.51771610557558</v>
      </c>
    </row>
    <row r="7" spans="1:10" ht="21.75" customHeight="1" x14ac:dyDescent="0.2">
      <c r="A7" s="40" t="s">
        <v>239</v>
      </c>
      <c r="B7" s="40" t="s">
        <v>240</v>
      </c>
      <c r="C7" s="40" t="s">
        <v>241</v>
      </c>
      <c r="D7" s="92" t="s">
        <v>242</v>
      </c>
      <c r="E7" s="92"/>
      <c r="G7" s="82">
        <v>2</v>
      </c>
      <c r="H7" s="83">
        <v>-0.28213899999999997</v>
      </c>
      <c r="I7" s="84">
        <f t="shared" si="0"/>
        <v>48.408348348463171</v>
      </c>
      <c r="J7" s="85">
        <f t="shared" si="1"/>
        <v>4.1715131523573277</v>
      </c>
    </row>
    <row r="8" spans="1:10" ht="19" x14ac:dyDescent="0.25">
      <c r="A8" s="16" t="s">
        <v>243</v>
      </c>
      <c r="B8" s="25" t="s">
        <v>244</v>
      </c>
      <c r="C8" s="86">
        <f>'P13 Both Worlds'!$C$8</f>
        <v>50</v>
      </c>
      <c r="D8" s="93" t="s">
        <v>626</v>
      </c>
      <c r="E8" s="93"/>
      <c r="G8" s="82">
        <v>3</v>
      </c>
      <c r="H8" s="83">
        <v>8.8029999999999997E-2</v>
      </c>
      <c r="I8" s="84">
        <f t="shared" si="0"/>
        <v>52.362829996811463</v>
      </c>
      <c r="J8" s="85">
        <f t="shared" si="1"/>
        <v>0.21703150400903581</v>
      </c>
    </row>
    <row r="9" spans="1:10" ht="19" x14ac:dyDescent="0.25">
      <c r="A9" s="16" t="s">
        <v>365</v>
      </c>
      <c r="B9" s="25" t="s">
        <v>366</v>
      </c>
      <c r="C9" s="86">
        <f>'P13 Both Worlds'!$C$9</f>
        <v>55</v>
      </c>
      <c r="D9" s="93"/>
      <c r="E9" s="93"/>
      <c r="G9" s="82">
        <v>4</v>
      </c>
      <c r="H9" s="83">
        <v>-0.11835</v>
      </c>
      <c r="I9" s="84">
        <f t="shared" si="0"/>
        <v>50.119852102826833</v>
      </c>
      <c r="J9" s="85">
        <f t="shared" si="1"/>
        <v>2.4600093979936659</v>
      </c>
    </row>
    <row r="10" spans="1:10" ht="19" x14ac:dyDescent="0.25">
      <c r="A10" s="16" t="s">
        <v>367</v>
      </c>
      <c r="B10" s="25" t="s">
        <v>368</v>
      </c>
      <c r="C10" s="87">
        <f>'P13 Both Worlds'!$C$10</f>
        <v>0.03</v>
      </c>
      <c r="D10" s="93"/>
      <c r="E10" s="93"/>
      <c r="G10" s="82">
        <v>5</v>
      </c>
      <c r="H10" s="83">
        <v>-0.63739500000000004</v>
      </c>
      <c r="I10" s="84">
        <f t="shared" si="0"/>
        <v>44.89431209790888</v>
      </c>
      <c r="J10" s="85">
        <f t="shared" si="1"/>
        <v>7.6855494029116187</v>
      </c>
    </row>
    <row r="11" spans="1:10" ht="19" x14ac:dyDescent="0.25">
      <c r="A11" s="16" t="s">
        <v>406</v>
      </c>
      <c r="B11" s="25" t="s">
        <v>249</v>
      </c>
      <c r="C11" s="87">
        <f>'P13 Both Worlds'!$C$11</f>
        <v>0.1</v>
      </c>
      <c r="D11" s="93"/>
      <c r="E11" s="93"/>
      <c r="G11" s="82">
        <v>6</v>
      </c>
      <c r="H11" s="83">
        <v>0.58979099999999995</v>
      </c>
      <c r="I11" s="84">
        <f t="shared" si="0"/>
        <v>58.243737160234055</v>
      </c>
      <c r="J11" s="85">
        <f t="shared" si="1"/>
        <v>-5.6638756594135558</v>
      </c>
    </row>
    <row r="12" spans="1:10" ht="19" x14ac:dyDescent="0.25">
      <c r="A12" s="16" t="s">
        <v>251</v>
      </c>
      <c r="B12" s="25" t="s">
        <v>252</v>
      </c>
      <c r="C12" s="87">
        <f>'P13 Both Worlds'!$C$12</f>
        <v>0.3</v>
      </c>
      <c r="D12" s="93"/>
      <c r="E12" s="93"/>
      <c r="G12" s="82">
        <v>7</v>
      </c>
      <c r="H12" s="83">
        <v>-0.71357400000000004</v>
      </c>
      <c r="I12" s="84">
        <f t="shared" si="0"/>
        <v>44.174650265208712</v>
      </c>
      <c r="J12" s="85">
        <f t="shared" si="1"/>
        <v>8.4052112356117874</v>
      </c>
    </row>
    <row r="13" spans="1:10" ht="19" x14ac:dyDescent="0.25">
      <c r="A13" s="16" t="s">
        <v>591</v>
      </c>
      <c r="B13" s="25" t="s">
        <v>255</v>
      </c>
      <c r="C13" s="88">
        <f>'P13 Both Worlds'!$C$13</f>
        <v>2</v>
      </c>
      <c r="D13" s="93"/>
      <c r="E13" s="93"/>
      <c r="G13" s="82">
        <v>8</v>
      </c>
      <c r="H13" s="83">
        <v>-0.89766999999999997</v>
      </c>
      <c r="I13" s="84">
        <f t="shared" si="0"/>
        <v>42.48276406021796</v>
      </c>
      <c r="J13" s="85">
        <f t="shared" si="1"/>
        <v>10.097097440602539</v>
      </c>
    </row>
    <row r="14" spans="1:10" ht="19" x14ac:dyDescent="0.25">
      <c r="A14" s="16" t="s">
        <v>592</v>
      </c>
      <c r="B14" s="25" t="s">
        <v>593</v>
      </c>
      <c r="C14" s="88">
        <f>'P13 Both Worlds'!$C$14</f>
        <v>0.5</v>
      </c>
      <c r="D14" s="93"/>
      <c r="E14" s="93"/>
      <c r="G14" s="82">
        <v>9</v>
      </c>
      <c r="H14" s="83">
        <v>-1.81365</v>
      </c>
      <c r="I14" s="84">
        <f t="shared" si="0"/>
        <v>34.980464248125962</v>
      </c>
      <c r="J14" s="85">
        <f t="shared" si="1"/>
        <v>17.599397252694537</v>
      </c>
    </row>
    <row r="15" spans="1:10" ht="19" x14ac:dyDescent="0.25">
      <c r="A15" s="16" t="s">
        <v>371</v>
      </c>
      <c r="B15" s="25" t="s">
        <v>334</v>
      </c>
      <c r="C15" s="59">
        <f>'P13 Both Worlds'!$C$16</f>
        <v>1000000</v>
      </c>
      <c r="D15" s="93"/>
      <c r="E15" s="93"/>
      <c r="G15" s="82">
        <v>10</v>
      </c>
      <c r="H15" s="83">
        <v>1.2213350000000001</v>
      </c>
      <c r="I15" s="84">
        <f t="shared" si="0"/>
        <v>66.593520538936744</v>
      </c>
      <c r="J15" s="85">
        <f t="shared" si="1"/>
        <v>-14.013659038116245</v>
      </c>
    </row>
    <row r="16" spans="1:10" ht="19" x14ac:dyDescent="0.25">
      <c r="A16" s="16" t="s">
        <v>627</v>
      </c>
      <c r="B16" s="25"/>
      <c r="C16" s="62">
        <v>1000</v>
      </c>
      <c r="D16" s="93"/>
      <c r="E16" s="93"/>
      <c r="G16" s="82">
        <v>11</v>
      </c>
      <c r="H16" s="83">
        <v>1.502437</v>
      </c>
      <c r="I16" s="84">
        <f t="shared" si="0"/>
        <v>70.685327725458691</v>
      </c>
      <c r="J16" s="85">
        <f t="shared" si="1"/>
        <v>-18.105466224638192</v>
      </c>
    </row>
    <row r="17" spans="1:10" x14ac:dyDescent="0.2">
      <c r="G17" s="82">
        <v>12</v>
      </c>
      <c r="H17" s="83">
        <v>0.17194400000000001</v>
      </c>
      <c r="I17" s="84">
        <f t="shared" si="0"/>
        <v>53.303278305143564</v>
      </c>
      <c r="J17" s="85">
        <f t="shared" si="1"/>
        <v>-0.72341680432306532</v>
      </c>
    </row>
    <row r="18" spans="1:10" ht="24" customHeight="1" x14ac:dyDescent="0.2">
      <c r="A18" s="91" t="s">
        <v>257</v>
      </c>
      <c r="B18" s="91"/>
      <c r="C18" s="91"/>
      <c r="D18" s="91"/>
      <c r="E18" s="91"/>
      <c r="G18" s="82">
        <v>13</v>
      </c>
      <c r="H18" s="83">
        <v>-0.30587199999999998</v>
      </c>
      <c r="I18" s="84">
        <f t="shared" si="0"/>
        <v>48.165247549760664</v>
      </c>
      <c r="J18" s="85">
        <f t="shared" si="1"/>
        <v>4.4146139510598337</v>
      </c>
    </row>
    <row r="19" spans="1:10" ht="21.75" customHeight="1" x14ac:dyDescent="0.2">
      <c r="A19" s="40" t="s">
        <v>258</v>
      </c>
      <c r="B19" s="40" t="s">
        <v>240</v>
      </c>
      <c r="C19" s="40" t="s">
        <v>259</v>
      </c>
      <c r="D19" s="40" t="s">
        <v>260</v>
      </c>
      <c r="E19" s="40" t="s">
        <v>261</v>
      </c>
      <c r="G19" s="82">
        <v>14</v>
      </c>
      <c r="H19" s="83">
        <v>-0.185081</v>
      </c>
      <c r="I19" s="84">
        <f t="shared" si="0"/>
        <v>49.415364414700456</v>
      </c>
      <c r="J19" s="85">
        <f t="shared" si="1"/>
        <v>3.1644970861200434</v>
      </c>
    </row>
    <row r="20" spans="1:10" ht="30" customHeight="1" x14ac:dyDescent="0.25">
      <c r="A20" s="16" t="s">
        <v>628</v>
      </c>
      <c r="B20" s="25"/>
      <c r="C20" s="44" t="s">
        <v>629</v>
      </c>
      <c r="D20" s="63">
        <f>AVERAGE($I$6:$I$1005)</f>
        <v>52.228860898716718</v>
      </c>
      <c r="E20" s="46" t="s">
        <v>630</v>
      </c>
      <c r="G20" s="82">
        <v>15</v>
      </c>
      <c r="H20" s="83">
        <v>-0.42303800000000003</v>
      </c>
      <c r="I20" s="84">
        <f t="shared" si="0"/>
        <v>46.982871253876532</v>
      </c>
      <c r="J20" s="85">
        <f t="shared" si="1"/>
        <v>5.5969902469439674</v>
      </c>
    </row>
    <row r="21" spans="1:10" ht="30" customHeight="1" x14ac:dyDescent="0.25">
      <c r="A21" s="16" t="s">
        <v>631</v>
      </c>
      <c r="B21" s="25"/>
      <c r="C21" s="44" t="s">
        <v>632</v>
      </c>
      <c r="D21" s="79">
        <f>AVERAGE($J$6:$J$1005)</f>
        <v>0.35100060210379891</v>
      </c>
      <c r="E21" s="46" t="s">
        <v>633</v>
      </c>
      <c r="G21" s="82">
        <v>16</v>
      </c>
      <c r="H21" s="83">
        <v>0.103738</v>
      </c>
      <c r="I21" s="84">
        <f t="shared" si="0"/>
        <v>52.537602872567426</v>
      </c>
      <c r="J21" s="85">
        <f t="shared" si="1"/>
        <v>4.2258628253073027E-2</v>
      </c>
    </row>
    <row r="22" spans="1:10" ht="30" customHeight="1" x14ac:dyDescent="0.25">
      <c r="A22" s="25" t="s">
        <v>634</v>
      </c>
      <c r="B22" s="25" t="s">
        <v>635</v>
      </c>
      <c r="C22" s="44" t="s">
        <v>636</v>
      </c>
      <c r="D22" s="64">
        <f>SMALL($J$6:$J$1005,ROUND(0.01*$C$16,0))</f>
        <v>-30.46119317290281</v>
      </c>
      <c r="E22" s="46" t="s">
        <v>637</v>
      </c>
      <c r="G22" s="82">
        <v>17</v>
      </c>
      <c r="H22" s="83">
        <v>-0.693129</v>
      </c>
      <c r="I22" s="84">
        <f t="shared" si="0"/>
        <v>44.366653527661057</v>
      </c>
      <c r="J22" s="85">
        <f t="shared" si="1"/>
        <v>8.2132079731594416</v>
      </c>
    </row>
    <row r="23" spans="1:10" ht="30" customHeight="1" x14ac:dyDescent="0.25">
      <c r="A23" s="16" t="s">
        <v>638</v>
      </c>
      <c r="B23" s="25" t="s">
        <v>639</v>
      </c>
      <c r="C23" s="44" t="s">
        <v>640</v>
      </c>
      <c r="D23" s="79">
        <f>PERCENTILE($J$6:$J$1005,0.01)</f>
        <v>-30.050354232152355</v>
      </c>
      <c r="E23" s="46" t="s">
        <v>641</v>
      </c>
      <c r="G23" s="82">
        <v>18</v>
      </c>
      <c r="H23" s="83">
        <v>1.8130759999999999</v>
      </c>
      <c r="I23" s="84">
        <f t="shared" si="0"/>
        <v>75.500139637012296</v>
      </c>
      <c r="J23" s="85">
        <f t="shared" si="1"/>
        <v>-22.920278136191797</v>
      </c>
    </row>
    <row r="24" spans="1:10" ht="30" customHeight="1" x14ac:dyDescent="0.25">
      <c r="A24" s="16" t="s">
        <v>642</v>
      </c>
      <c r="B24" s="25" t="s">
        <v>643</v>
      </c>
      <c r="C24" s="44" t="s">
        <v>644</v>
      </c>
      <c r="D24" s="89">
        <f>'P13 Both Worlds'!$D$25</f>
        <v>-31.605067317284863</v>
      </c>
      <c r="E24" s="46" t="s">
        <v>645</v>
      </c>
      <c r="G24" s="82">
        <v>19</v>
      </c>
      <c r="H24" s="83">
        <v>-3.5943000000000003E-2</v>
      </c>
      <c r="I24" s="84">
        <f t="shared" si="0"/>
        <v>51.00370839546008</v>
      </c>
      <c r="J24" s="85">
        <f t="shared" si="1"/>
        <v>1.5761531053604187</v>
      </c>
    </row>
    <row r="25" spans="1:10" ht="30" customHeight="1" x14ac:dyDescent="0.25">
      <c r="A25" s="16" t="s">
        <v>646</v>
      </c>
      <c r="B25" s="25" t="s">
        <v>647</v>
      </c>
      <c r="C25" s="44" t="s">
        <v>648</v>
      </c>
      <c r="D25" s="79">
        <f>$D$22-$D$24</f>
        <v>1.1438741443820533</v>
      </c>
      <c r="E25" s="46" t="s">
        <v>649</v>
      </c>
      <c r="G25" s="82">
        <v>20</v>
      </c>
      <c r="H25" s="83">
        <v>0.62655099999999997</v>
      </c>
      <c r="I25" s="84">
        <f t="shared" si="0"/>
        <v>58.699695749992607</v>
      </c>
      <c r="J25" s="85">
        <f t="shared" si="1"/>
        <v>-6.1198342491721078</v>
      </c>
    </row>
    <row r="26" spans="1:10" x14ac:dyDescent="0.2">
      <c r="G26" s="82">
        <v>21</v>
      </c>
      <c r="H26" s="83">
        <v>1.5525690000000001</v>
      </c>
      <c r="I26" s="84">
        <f t="shared" si="0"/>
        <v>71.441049411864469</v>
      </c>
      <c r="J26" s="85">
        <f t="shared" si="1"/>
        <v>-18.86118791104397</v>
      </c>
    </row>
    <row r="27" spans="1:10" ht="34.5" customHeight="1" x14ac:dyDescent="0.2">
      <c r="A27" s="6" t="s">
        <v>650</v>
      </c>
      <c r="B27" s="6"/>
      <c r="C27" s="6"/>
      <c r="D27" s="6"/>
      <c r="E27" s="6"/>
      <c r="G27" s="82">
        <v>22</v>
      </c>
      <c r="H27" s="83">
        <v>2.211265</v>
      </c>
      <c r="I27" s="84">
        <f t="shared" si="0"/>
        <v>82.154625495190572</v>
      </c>
      <c r="J27" s="85">
        <f t="shared" si="1"/>
        <v>-29.574763994370073</v>
      </c>
    </row>
    <row r="28" spans="1:10" ht="34.5" customHeight="1" x14ac:dyDescent="0.2">
      <c r="A28" s="6"/>
      <c r="B28" s="6"/>
      <c r="C28" s="6"/>
      <c r="D28" s="6"/>
      <c r="E28" s="6"/>
      <c r="G28" s="82">
        <v>23</v>
      </c>
      <c r="H28" s="83">
        <v>-0.284356</v>
      </c>
      <c r="I28" s="84">
        <f t="shared" si="0"/>
        <v>48.385587413622197</v>
      </c>
      <c r="J28" s="85">
        <f t="shared" si="1"/>
        <v>4.194274087198302</v>
      </c>
    </row>
    <row r="29" spans="1:10" x14ac:dyDescent="0.2">
      <c r="G29" s="82">
        <v>24</v>
      </c>
      <c r="H29" s="83">
        <v>-0.40226600000000001</v>
      </c>
      <c r="I29" s="84">
        <f t="shared" si="0"/>
        <v>47.19035367893715</v>
      </c>
      <c r="J29" s="85">
        <f t="shared" si="1"/>
        <v>5.389507821883349</v>
      </c>
    </row>
    <row r="30" spans="1:10" x14ac:dyDescent="0.2">
      <c r="G30" s="82">
        <v>25</v>
      </c>
      <c r="H30" s="83">
        <v>2.07606</v>
      </c>
      <c r="I30" s="84">
        <f t="shared" si="0"/>
        <v>79.831793242666649</v>
      </c>
      <c r="J30" s="85">
        <f t="shared" si="1"/>
        <v>-27.251931741846146</v>
      </c>
    </row>
    <row r="31" spans="1:10" x14ac:dyDescent="0.2">
      <c r="G31" s="82">
        <v>26</v>
      </c>
      <c r="H31" s="83">
        <v>0.675759</v>
      </c>
      <c r="I31" s="84">
        <f t="shared" si="0"/>
        <v>59.315647232169276</v>
      </c>
      <c r="J31" s="85">
        <f t="shared" si="1"/>
        <v>-6.735785731348777</v>
      </c>
    </row>
    <row r="32" spans="1:10" x14ac:dyDescent="0.2">
      <c r="G32" s="82">
        <v>27</v>
      </c>
      <c r="H32" s="83">
        <v>0.79601699999999997</v>
      </c>
      <c r="I32" s="84">
        <f t="shared" si="0"/>
        <v>60.848289627079097</v>
      </c>
      <c r="J32" s="85">
        <f t="shared" si="1"/>
        <v>-8.2684281262585984</v>
      </c>
    </row>
    <row r="33" spans="7:10" x14ac:dyDescent="0.2">
      <c r="G33" s="82">
        <v>28</v>
      </c>
      <c r="H33" s="83">
        <v>1.45139</v>
      </c>
      <c r="I33" s="84">
        <f t="shared" si="0"/>
        <v>69.924026628680323</v>
      </c>
      <c r="J33" s="85">
        <f t="shared" si="1"/>
        <v>-17.344165127859824</v>
      </c>
    </row>
    <row r="34" spans="7:10" x14ac:dyDescent="0.2">
      <c r="G34" s="82">
        <v>29</v>
      </c>
      <c r="H34" s="83">
        <v>1.327272</v>
      </c>
      <c r="I34" s="84">
        <f t="shared" si="0"/>
        <v>68.106994350132027</v>
      </c>
      <c r="J34" s="85">
        <f t="shared" si="1"/>
        <v>-15.527132849311528</v>
      </c>
    </row>
    <row r="35" spans="7:10" x14ac:dyDescent="0.2">
      <c r="G35" s="82">
        <v>30</v>
      </c>
      <c r="H35" s="83">
        <v>0.106781</v>
      </c>
      <c r="I35" s="84">
        <f t="shared" si="0"/>
        <v>52.57152777775562</v>
      </c>
      <c r="J35" s="85">
        <f t="shared" si="1"/>
        <v>8.3337230648794502E-3</v>
      </c>
    </row>
    <row r="36" spans="7:10" x14ac:dyDescent="0.2">
      <c r="G36" s="82">
        <v>31</v>
      </c>
      <c r="H36" s="83">
        <v>-0.81748900000000002</v>
      </c>
      <c r="I36" s="84">
        <f t="shared" si="0"/>
        <v>43.211531858410623</v>
      </c>
      <c r="J36" s="85">
        <f t="shared" si="1"/>
        <v>9.3683296424098756</v>
      </c>
    </row>
    <row r="37" spans="7:10" x14ac:dyDescent="0.2">
      <c r="G37" s="82">
        <v>32</v>
      </c>
      <c r="H37" s="83">
        <v>0.91435200000000005</v>
      </c>
      <c r="I37" s="84">
        <f t="shared" si="0"/>
        <v>62.395075581965287</v>
      </c>
      <c r="J37" s="85">
        <f t="shared" si="1"/>
        <v>-9.8152140811447879</v>
      </c>
    </row>
    <row r="38" spans="7:10" x14ac:dyDescent="0.2">
      <c r="G38" s="82">
        <v>33</v>
      </c>
      <c r="H38" s="83">
        <v>0.489286</v>
      </c>
      <c r="I38" s="84">
        <f t="shared" si="0"/>
        <v>57.01510541403151</v>
      </c>
      <c r="J38" s="85">
        <f t="shared" si="1"/>
        <v>-4.4352439132110106</v>
      </c>
    </row>
    <row r="39" spans="7:10" x14ac:dyDescent="0.2">
      <c r="G39" s="82">
        <v>34</v>
      </c>
      <c r="H39" s="83">
        <v>0.69481400000000004</v>
      </c>
      <c r="I39" s="84">
        <f t="shared" si="0"/>
        <v>59.555896751059208</v>
      </c>
      <c r="J39" s="85">
        <f t="shared" si="1"/>
        <v>-6.9760352502387093</v>
      </c>
    </row>
    <row r="40" spans="7:10" x14ac:dyDescent="0.2">
      <c r="G40" s="82">
        <v>35</v>
      </c>
      <c r="H40" s="83">
        <v>-1.9101619999999999</v>
      </c>
      <c r="I40" s="84">
        <f t="shared" si="0"/>
        <v>34.271580518542827</v>
      </c>
      <c r="J40" s="85">
        <f t="shared" si="1"/>
        <v>18.308280982277672</v>
      </c>
    </row>
    <row r="41" spans="7:10" x14ac:dyDescent="0.2">
      <c r="G41" s="82">
        <v>36</v>
      </c>
      <c r="H41" s="83">
        <v>0.477516</v>
      </c>
      <c r="I41" s="84">
        <f t="shared" si="0"/>
        <v>56.872928006108239</v>
      </c>
      <c r="J41" s="85">
        <f t="shared" si="1"/>
        <v>-4.2930665052877401</v>
      </c>
    </row>
    <row r="42" spans="7:10" x14ac:dyDescent="0.2">
      <c r="G42" s="82">
        <v>37</v>
      </c>
      <c r="H42" s="83">
        <v>0.56149300000000002</v>
      </c>
      <c r="I42" s="84">
        <f t="shared" si="0"/>
        <v>57.895152422135446</v>
      </c>
      <c r="J42" s="85">
        <f t="shared" si="1"/>
        <v>-5.3152909213149471</v>
      </c>
    </row>
    <row r="43" spans="7:10" x14ac:dyDescent="0.2">
      <c r="G43" s="82">
        <v>38</v>
      </c>
      <c r="H43" s="83">
        <v>0.41235100000000002</v>
      </c>
      <c r="I43" s="84">
        <f t="shared" si="0"/>
        <v>56.092149320606147</v>
      </c>
      <c r="J43" s="85">
        <f t="shared" si="1"/>
        <v>-3.512287819785648</v>
      </c>
    </row>
    <row r="44" spans="7:10" x14ac:dyDescent="0.2">
      <c r="G44" s="82">
        <v>39</v>
      </c>
      <c r="H44" s="83">
        <v>-0.35577300000000001</v>
      </c>
      <c r="I44" s="84">
        <f t="shared" si="0"/>
        <v>47.658078554277736</v>
      </c>
      <c r="J44" s="85">
        <f t="shared" si="1"/>
        <v>4.9217829465427627</v>
      </c>
    </row>
    <row r="45" spans="7:10" x14ac:dyDescent="0.2">
      <c r="G45" s="82">
        <v>40</v>
      </c>
      <c r="H45" s="83">
        <v>0.27080700000000002</v>
      </c>
      <c r="I45" s="84">
        <f t="shared" si="0"/>
        <v>54.432959592501341</v>
      </c>
      <c r="J45" s="85">
        <f t="shared" si="1"/>
        <v>-1.8530980916808417</v>
      </c>
    </row>
    <row r="46" spans="7:10" x14ac:dyDescent="0.2">
      <c r="G46" s="82">
        <v>41</v>
      </c>
      <c r="H46" s="83">
        <v>1.031793</v>
      </c>
      <c r="I46" s="84">
        <f t="shared" si="0"/>
        <v>63.969048778951553</v>
      </c>
      <c r="J46" s="85">
        <f t="shared" si="1"/>
        <v>-11.389187278131054</v>
      </c>
    </row>
    <row r="47" spans="7:10" x14ac:dyDescent="0.2">
      <c r="G47" s="82">
        <v>42</v>
      </c>
      <c r="H47" s="83">
        <v>-0.19536300000000001</v>
      </c>
      <c r="I47" s="84">
        <f t="shared" si="0"/>
        <v>49.307699967205473</v>
      </c>
      <c r="J47" s="85">
        <f t="shared" si="1"/>
        <v>3.2721615336150265</v>
      </c>
    </row>
    <row r="48" spans="7:10" x14ac:dyDescent="0.2">
      <c r="G48" s="82">
        <v>43</v>
      </c>
      <c r="H48" s="83">
        <v>5.0242000000000002E-2</v>
      </c>
      <c r="I48" s="84">
        <f t="shared" si="0"/>
        <v>51.944765031259465</v>
      </c>
      <c r="J48" s="85">
        <f t="shared" si="1"/>
        <v>0.63509646956103438</v>
      </c>
    </row>
    <row r="49" spans="7:10" x14ac:dyDescent="0.2">
      <c r="G49" s="82">
        <v>44</v>
      </c>
      <c r="H49" s="83">
        <v>0.167268</v>
      </c>
      <c r="I49" s="84">
        <f t="shared" si="0"/>
        <v>53.250431431185078</v>
      </c>
      <c r="J49" s="85">
        <f t="shared" si="1"/>
        <v>-0.67056993036457868</v>
      </c>
    </row>
    <row r="50" spans="7:10" x14ac:dyDescent="0.2">
      <c r="G50" s="82">
        <v>45</v>
      </c>
      <c r="H50" s="83">
        <v>-0.70825400000000005</v>
      </c>
      <c r="I50" s="84">
        <f t="shared" si="0"/>
        <v>44.224531373223357</v>
      </c>
      <c r="J50" s="85">
        <f t="shared" si="1"/>
        <v>8.3553301275971421</v>
      </c>
    </row>
    <row r="51" spans="7:10" x14ac:dyDescent="0.2">
      <c r="G51" s="82">
        <v>46</v>
      </c>
      <c r="H51" s="83">
        <v>1.308387</v>
      </c>
      <c r="I51" s="84">
        <f t="shared" si="0"/>
        <v>67.834695796372785</v>
      </c>
      <c r="J51" s="85">
        <f t="shared" si="1"/>
        <v>-15.254834295552286</v>
      </c>
    </row>
    <row r="52" spans="7:10" x14ac:dyDescent="0.2">
      <c r="G52" s="82">
        <v>47</v>
      </c>
      <c r="H52" s="83">
        <v>-0.171989</v>
      </c>
      <c r="I52" s="84">
        <f t="shared" si="0"/>
        <v>49.552793122798079</v>
      </c>
      <c r="J52" s="85">
        <f t="shared" si="1"/>
        <v>3.0270683780224203</v>
      </c>
    </row>
    <row r="53" spans="7:10" x14ac:dyDescent="0.2">
      <c r="G53" s="82">
        <v>48</v>
      </c>
      <c r="H53" s="83">
        <v>1.6057630000000001</v>
      </c>
      <c r="I53" s="84">
        <f t="shared" si="0"/>
        <v>72.251766557154284</v>
      </c>
      <c r="J53" s="85">
        <f t="shared" si="1"/>
        <v>-19.671905056333785</v>
      </c>
    </row>
    <row r="54" spans="7:10" x14ac:dyDescent="0.2">
      <c r="G54" s="82">
        <v>49</v>
      </c>
      <c r="H54" s="83">
        <v>-0.18723500000000001</v>
      </c>
      <c r="I54" s="84">
        <f t="shared" si="0"/>
        <v>49.392790091405253</v>
      </c>
      <c r="J54" s="85">
        <f t="shared" si="1"/>
        <v>3.1870714094152461</v>
      </c>
    </row>
    <row r="55" spans="7:10" x14ac:dyDescent="0.2">
      <c r="G55" s="82">
        <v>50</v>
      </c>
      <c r="H55" s="83">
        <v>-0.161722</v>
      </c>
      <c r="I55" s="84">
        <f t="shared" si="0"/>
        <v>49.660834716529735</v>
      </c>
      <c r="J55" s="85">
        <f t="shared" si="1"/>
        <v>2.9190267842907645</v>
      </c>
    </row>
    <row r="56" spans="7:10" x14ac:dyDescent="0.2">
      <c r="G56" s="82">
        <v>51</v>
      </c>
      <c r="H56" s="83">
        <v>0.70005300000000004</v>
      </c>
      <c r="I56" s="84">
        <f t="shared" si="0"/>
        <v>59.622121569254382</v>
      </c>
      <c r="J56" s="85">
        <f t="shared" si="1"/>
        <v>-7.0422600684338832</v>
      </c>
    </row>
    <row r="57" spans="7:10" x14ac:dyDescent="0.2">
      <c r="G57" s="82">
        <v>52</v>
      </c>
      <c r="H57" s="83">
        <v>0.34867999999999999</v>
      </c>
      <c r="I57" s="84">
        <f t="shared" si="0"/>
        <v>55.339625283536776</v>
      </c>
      <c r="J57" s="85">
        <f t="shared" si="1"/>
        <v>-2.7597637827162771</v>
      </c>
    </row>
    <row r="58" spans="7:10" x14ac:dyDescent="0.2">
      <c r="G58" s="82">
        <v>53</v>
      </c>
      <c r="H58" s="83">
        <v>7.2591000000000003E-2</v>
      </c>
      <c r="I58" s="84">
        <f t="shared" si="0"/>
        <v>52.191616677027575</v>
      </c>
      <c r="J58" s="85">
        <f t="shared" si="1"/>
        <v>0.38824482379292391</v>
      </c>
    </row>
    <row r="59" spans="7:10" x14ac:dyDescent="0.2">
      <c r="G59" s="82">
        <v>54</v>
      </c>
      <c r="H59" s="83">
        <v>1.3879010000000001</v>
      </c>
      <c r="I59" s="84">
        <f t="shared" si="0"/>
        <v>68.988599619649619</v>
      </c>
      <c r="J59" s="85">
        <f t="shared" si="1"/>
        <v>-16.40873811882912</v>
      </c>
    </row>
    <row r="60" spans="7:10" x14ac:dyDescent="0.2">
      <c r="G60" s="82">
        <v>55</v>
      </c>
      <c r="H60" s="83">
        <v>0.820322</v>
      </c>
      <c r="I60" s="84">
        <f t="shared" si="0"/>
        <v>61.162825599426696</v>
      </c>
      <c r="J60" s="85">
        <f t="shared" si="1"/>
        <v>-8.5829640986061975</v>
      </c>
    </row>
    <row r="61" spans="7:10" x14ac:dyDescent="0.2">
      <c r="G61" s="82">
        <v>56</v>
      </c>
      <c r="H61" s="83">
        <v>-0.28573399999999999</v>
      </c>
      <c r="I61" s="84">
        <f t="shared" si="0"/>
        <v>48.371445505289515</v>
      </c>
      <c r="J61" s="85">
        <f t="shared" si="1"/>
        <v>4.2084159955309843</v>
      </c>
    </row>
    <row r="62" spans="7:10" x14ac:dyDescent="0.2">
      <c r="G62" s="82">
        <v>57</v>
      </c>
      <c r="H62" s="83">
        <v>0.540273</v>
      </c>
      <c r="I62" s="84">
        <f t="shared" si="0"/>
        <v>57.635126449759312</v>
      </c>
      <c r="J62" s="85">
        <f t="shared" si="1"/>
        <v>-5.0552649489388131</v>
      </c>
    </row>
    <row r="63" spans="7:10" x14ac:dyDescent="0.2">
      <c r="G63" s="82">
        <v>58</v>
      </c>
      <c r="H63" s="83">
        <v>1.0974520000000001</v>
      </c>
      <c r="I63" s="84">
        <f t="shared" si="0"/>
        <v>64.866267719236077</v>
      </c>
      <c r="J63" s="85">
        <f t="shared" si="1"/>
        <v>-12.286406218415578</v>
      </c>
    </row>
    <row r="64" spans="7:10" x14ac:dyDescent="0.2">
      <c r="G64" s="82">
        <v>59</v>
      </c>
      <c r="H64" s="83">
        <v>0.36996400000000002</v>
      </c>
      <c r="I64" s="84">
        <f t="shared" si="0"/>
        <v>55.590049609718747</v>
      </c>
      <c r="J64" s="85">
        <f t="shared" si="1"/>
        <v>-3.0101881088982481</v>
      </c>
    </row>
    <row r="65" spans="7:10" x14ac:dyDescent="0.2">
      <c r="G65" s="82">
        <v>60</v>
      </c>
      <c r="H65" s="83">
        <v>-0.20233999999999999</v>
      </c>
      <c r="I65" s="84">
        <f t="shared" si="0"/>
        <v>49.234776320821794</v>
      </c>
      <c r="J65" s="85">
        <f t="shared" si="1"/>
        <v>3.3450851799987049</v>
      </c>
    </row>
    <row r="66" spans="7:10" x14ac:dyDescent="0.2">
      <c r="G66" s="82">
        <v>61</v>
      </c>
      <c r="H66" s="83">
        <v>-0.25748700000000002</v>
      </c>
      <c r="I66" s="84">
        <f t="shared" si="0"/>
        <v>48.662161863046869</v>
      </c>
      <c r="J66" s="85">
        <f t="shared" si="1"/>
        <v>3.9176996377736302</v>
      </c>
    </row>
    <row r="67" spans="7:10" x14ac:dyDescent="0.2">
      <c r="G67" s="82">
        <v>62</v>
      </c>
      <c r="H67" s="83">
        <v>0.26674999999999999</v>
      </c>
      <c r="I67" s="84">
        <f t="shared" si="0"/>
        <v>54.386133669685108</v>
      </c>
      <c r="J67" s="85">
        <f t="shared" si="1"/>
        <v>-1.8062721688646093</v>
      </c>
    </row>
    <row r="68" spans="7:10" x14ac:dyDescent="0.2">
      <c r="G68" s="82">
        <v>63</v>
      </c>
      <c r="H68" s="83">
        <v>-0.160825</v>
      </c>
      <c r="I68" s="84">
        <f t="shared" si="0"/>
        <v>49.670285200176657</v>
      </c>
      <c r="J68" s="85">
        <f t="shared" si="1"/>
        <v>2.9095763006438418</v>
      </c>
    </row>
    <row r="69" spans="7:10" x14ac:dyDescent="0.2">
      <c r="G69" s="82">
        <v>64</v>
      </c>
      <c r="H69" s="83">
        <v>-0.66144499999999995</v>
      </c>
      <c r="I69" s="84">
        <f t="shared" si="0"/>
        <v>44.665854664454955</v>
      </c>
      <c r="J69" s="85">
        <f t="shared" si="1"/>
        <v>7.9140068363655445</v>
      </c>
    </row>
    <row r="70" spans="7:10" x14ac:dyDescent="0.2">
      <c r="G70" s="82">
        <v>65</v>
      </c>
      <c r="H70" s="83">
        <v>-0.34007700000000002</v>
      </c>
      <c r="I70" s="84">
        <f t="shared" ref="I70:I133" si="2">$C$8*EXP(($C$11-$C$12^2/2)*$C$14+H70*$C$12*SQRT($C$14))</f>
        <v>47.817026527704918</v>
      </c>
      <c r="J70" s="85">
        <f t="shared" ref="J70:J133" si="3">($C$9*EXP(-$C$10*($C$13-$C$14))-I70)*$C$15/1000000</f>
        <v>4.7628349731155808</v>
      </c>
    </row>
    <row r="71" spans="7:10" x14ac:dyDescent="0.2">
      <c r="G71" s="82">
        <v>66</v>
      </c>
      <c r="H71" s="83">
        <v>-0.61094700000000002</v>
      </c>
      <c r="I71" s="84">
        <f t="shared" si="2"/>
        <v>45.146898101610546</v>
      </c>
      <c r="J71" s="85">
        <f t="shared" si="3"/>
        <v>7.4329633992099531</v>
      </c>
    </row>
    <row r="72" spans="7:10" x14ac:dyDescent="0.2">
      <c r="G72" s="82">
        <v>67</v>
      </c>
      <c r="H72" s="83">
        <v>4.0863999999999998E-2</v>
      </c>
      <c r="I72" s="84">
        <f t="shared" si="2"/>
        <v>51.841530175363637</v>
      </c>
      <c r="J72" s="85">
        <f t="shared" si="3"/>
        <v>0.73833132545686198</v>
      </c>
    </row>
    <row r="73" spans="7:10" x14ac:dyDescent="0.2">
      <c r="G73" s="82">
        <v>68</v>
      </c>
      <c r="H73" s="83">
        <v>-9.6445000000000003E-2</v>
      </c>
      <c r="I73" s="84">
        <f t="shared" si="2"/>
        <v>50.353288577170183</v>
      </c>
      <c r="J73" s="85">
        <f t="shared" si="3"/>
        <v>2.2265729236503162</v>
      </c>
    </row>
    <row r="74" spans="7:10" x14ac:dyDescent="0.2">
      <c r="G74" s="82">
        <v>69</v>
      </c>
      <c r="H74" s="83">
        <v>-0.61839299999999997</v>
      </c>
      <c r="I74" s="84">
        <f t="shared" si="2"/>
        <v>45.075643279708956</v>
      </c>
      <c r="J74" s="85">
        <f t="shared" si="3"/>
        <v>7.5042182211115431</v>
      </c>
    </row>
    <row r="75" spans="7:10" x14ac:dyDescent="0.2">
      <c r="G75" s="82">
        <v>70</v>
      </c>
      <c r="H75" s="83">
        <v>0.13258600000000001</v>
      </c>
      <c r="I75" s="84">
        <f t="shared" si="2"/>
        <v>52.86009695374014</v>
      </c>
      <c r="J75" s="85">
        <f t="shared" si="3"/>
        <v>-0.28023545291964069</v>
      </c>
    </row>
    <row r="76" spans="7:10" x14ac:dyDescent="0.2">
      <c r="G76" s="82">
        <v>71</v>
      </c>
      <c r="H76" s="83">
        <v>0.808693</v>
      </c>
      <c r="I76" s="84">
        <f t="shared" si="2"/>
        <v>61.012129989248187</v>
      </c>
      <c r="J76" s="85">
        <f t="shared" si="3"/>
        <v>-8.4322684884276882</v>
      </c>
    </row>
    <row r="77" spans="7:10" x14ac:dyDescent="0.2">
      <c r="G77" s="82">
        <v>72</v>
      </c>
      <c r="H77" s="83">
        <v>0.89137500000000003</v>
      </c>
      <c r="I77" s="84">
        <f t="shared" si="2"/>
        <v>62.091692110626852</v>
      </c>
      <c r="J77" s="85">
        <f t="shared" si="3"/>
        <v>-9.5118306098063528</v>
      </c>
    </row>
    <row r="78" spans="7:10" x14ac:dyDescent="0.2">
      <c r="G78" s="82">
        <v>73</v>
      </c>
      <c r="H78" s="83">
        <v>1.7008319999999999</v>
      </c>
      <c r="I78" s="84">
        <f t="shared" si="2"/>
        <v>73.723673181973865</v>
      </c>
      <c r="J78" s="85">
        <f t="shared" si="3"/>
        <v>-21.143811681153366</v>
      </c>
    </row>
    <row r="79" spans="7:10" x14ac:dyDescent="0.2">
      <c r="G79" s="82">
        <v>74</v>
      </c>
      <c r="H79" s="83">
        <v>-0.37758399999999998</v>
      </c>
      <c r="I79" s="84">
        <f t="shared" si="2"/>
        <v>47.438082925639961</v>
      </c>
      <c r="J79" s="85">
        <f t="shared" si="3"/>
        <v>5.1417785751805383</v>
      </c>
    </row>
    <row r="80" spans="7:10" x14ac:dyDescent="0.2">
      <c r="G80" s="82">
        <v>75</v>
      </c>
      <c r="H80" s="83">
        <v>-0.61479600000000001</v>
      </c>
      <c r="I80" s="84">
        <f t="shared" si="2"/>
        <v>45.11005087571516</v>
      </c>
      <c r="J80" s="85">
        <f t="shared" si="3"/>
        <v>7.4698106251053389</v>
      </c>
    </row>
    <row r="81" spans="7:10" x14ac:dyDescent="0.2">
      <c r="G81" s="82">
        <v>76</v>
      </c>
      <c r="H81" s="83">
        <v>-3.2160000000000001E-2</v>
      </c>
      <c r="I81" s="84">
        <f t="shared" si="2"/>
        <v>51.044655068777878</v>
      </c>
      <c r="J81" s="85">
        <f t="shared" si="3"/>
        <v>1.5352064320426209</v>
      </c>
    </row>
    <row r="82" spans="7:10" x14ac:dyDescent="0.2">
      <c r="G82" s="82">
        <v>77</v>
      </c>
      <c r="H82" s="83">
        <v>-0.74551800000000001</v>
      </c>
      <c r="I82" s="84">
        <f t="shared" si="2"/>
        <v>43.876319501371938</v>
      </c>
      <c r="J82" s="85">
        <f t="shared" si="3"/>
        <v>8.7035419994485608</v>
      </c>
    </row>
    <row r="83" spans="7:10" x14ac:dyDescent="0.2">
      <c r="G83" s="82">
        <v>78</v>
      </c>
      <c r="H83" s="83">
        <v>1.889281</v>
      </c>
      <c r="I83" s="84">
        <f t="shared" si="2"/>
        <v>76.730557156863881</v>
      </c>
      <c r="J83" s="85">
        <f t="shared" si="3"/>
        <v>-24.150695656043382</v>
      </c>
    </row>
    <row r="84" spans="7:10" x14ac:dyDescent="0.2">
      <c r="G84" s="82">
        <v>79</v>
      </c>
      <c r="H84" s="83">
        <v>0.48558600000000002</v>
      </c>
      <c r="I84" s="84">
        <f t="shared" si="2"/>
        <v>56.97037246940365</v>
      </c>
      <c r="J84" s="85">
        <f t="shared" si="3"/>
        <v>-4.3905109685831505</v>
      </c>
    </row>
    <row r="85" spans="7:10" x14ac:dyDescent="0.2">
      <c r="G85" s="82">
        <v>80</v>
      </c>
      <c r="H85" s="83">
        <v>-0.51783299999999999</v>
      </c>
      <c r="I85" s="84">
        <f t="shared" si="2"/>
        <v>46.047526029294858</v>
      </c>
      <c r="J85" s="85">
        <f t="shared" si="3"/>
        <v>6.5323354715256414</v>
      </c>
    </row>
    <row r="86" spans="7:10" x14ac:dyDescent="0.2">
      <c r="G86" s="82">
        <v>81</v>
      </c>
      <c r="H86" s="83">
        <v>-0.79624300000000003</v>
      </c>
      <c r="I86" s="84">
        <f t="shared" si="2"/>
        <v>43.406723913840409</v>
      </c>
      <c r="J86" s="85">
        <f t="shared" si="3"/>
        <v>9.17313758698009</v>
      </c>
    </row>
    <row r="87" spans="7:10" x14ac:dyDescent="0.2">
      <c r="G87" s="82">
        <v>82</v>
      </c>
      <c r="H87" s="83">
        <v>-0.54498899999999995</v>
      </c>
      <c r="I87" s="84">
        <f t="shared" si="2"/>
        <v>45.783024584547114</v>
      </c>
      <c r="J87" s="85">
        <f t="shared" si="3"/>
        <v>6.796836916273385</v>
      </c>
    </row>
    <row r="88" spans="7:10" x14ac:dyDescent="0.2">
      <c r="G88" s="82">
        <v>83</v>
      </c>
      <c r="H88" s="83">
        <v>-1.004359</v>
      </c>
      <c r="I88" s="84">
        <f t="shared" si="2"/>
        <v>41.532086099796715</v>
      </c>
      <c r="J88" s="85">
        <f t="shared" si="3"/>
        <v>11.047775401023785</v>
      </c>
    </row>
    <row r="89" spans="7:10" x14ac:dyDescent="0.2">
      <c r="G89" s="82">
        <v>84</v>
      </c>
      <c r="H89" s="83">
        <v>-3.031399</v>
      </c>
      <c r="I89" s="84">
        <f t="shared" si="2"/>
        <v>27.0169965178635</v>
      </c>
      <c r="J89" s="85">
        <f t="shared" si="3"/>
        <v>25.562864982956999</v>
      </c>
    </row>
    <row r="90" spans="7:10" x14ac:dyDescent="0.2">
      <c r="G90" s="82">
        <v>85</v>
      </c>
      <c r="H90" s="83">
        <v>0.42377100000000001</v>
      </c>
      <c r="I90" s="84">
        <f t="shared" si="2"/>
        <v>56.228199963412138</v>
      </c>
      <c r="J90" s="85">
        <f t="shared" si="3"/>
        <v>-3.6483384625916386</v>
      </c>
    </row>
    <row r="91" spans="7:10" x14ac:dyDescent="0.2">
      <c r="G91" s="82">
        <v>86</v>
      </c>
      <c r="H91" s="83">
        <v>0.62828200000000001</v>
      </c>
      <c r="I91" s="84">
        <f t="shared" si="2"/>
        <v>58.721254268550858</v>
      </c>
      <c r="J91" s="85">
        <f t="shared" si="3"/>
        <v>-6.141392767730359</v>
      </c>
    </row>
    <row r="92" spans="7:10" x14ac:dyDescent="0.2">
      <c r="G92" s="82">
        <v>87</v>
      </c>
      <c r="H92" s="83">
        <v>-0.10578600000000001</v>
      </c>
      <c r="I92" s="84">
        <f t="shared" si="2"/>
        <v>50.25361104964653</v>
      </c>
      <c r="J92" s="85">
        <f t="shared" si="3"/>
        <v>2.3262504511739692</v>
      </c>
    </row>
    <row r="93" spans="7:10" x14ac:dyDescent="0.2">
      <c r="G93" s="82">
        <v>88</v>
      </c>
      <c r="H93" s="83">
        <v>0.56296100000000004</v>
      </c>
      <c r="I93" s="84">
        <f t="shared" si="2"/>
        <v>57.913184349016511</v>
      </c>
      <c r="J93" s="85">
        <f t="shared" si="3"/>
        <v>-5.333322848196012</v>
      </c>
    </row>
    <row r="94" spans="7:10" x14ac:dyDescent="0.2">
      <c r="G94" s="82">
        <v>89</v>
      </c>
      <c r="H94" s="83">
        <v>-1.488629</v>
      </c>
      <c r="I94" s="84">
        <f t="shared" si="2"/>
        <v>37.477363370495944</v>
      </c>
      <c r="J94" s="85">
        <f t="shared" si="3"/>
        <v>15.102498130324555</v>
      </c>
    </row>
    <row r="95" spans="7:10" x14ac:dyDescent="0.2">
      <c r="G95" s="82">
        <v>90</v>
      </c>
      <c r="H95" s="83">
        <v>0.49868200000000001</v>
      </c>
      <c r="I95" s="84">
        <f t="shared" si="2"/>
        <v>57.128860830501068</v>
      </c>
      <c r="J95" s="85">
        <f t="shared" si="3"/>
        <v>-4.5489993296805693</v>
      </c>
    </row>
    <row r="96" spans="7:10" x14ac:dyDescent="0.2">
      <c r="G96" s="82">
        <v>91</v>
      </c>
      <c r="H96" s="83">
        <v>-0.31781399999999999</v>
      </c>
      <c r="I96" s="84">
        <f t="shared" si="2"/>
        <v>48.043385875205914</v>
      </c>
      <c r="J96" s="85">
        <f t="shared" si="3"/>
        <v>4.5364756256145853</v>
      </c>
    </row>
    <row r="97" spans="7:10" x14ac:dyDescent="0.2">
      <c r="G97" s="82">
        <v>92</v>
      </c>
      <c r="H97" s="83">
        <v>2.0252319999999999</v>
      </c>
      <c r="I97" s="84">
        <f t="shared" si="2"/>
        <v>78.975650989090298</v>
      </c>
      <c r="J97" s="85">
        <f t="shared" si="3"/>
        <v>-26.395789488269799</v>
      </c>
    </row>
    <row r="98" spans="7:10" x14ac:dyDescent="0.2">
      <c r="G98" s="82">
        <v>93</v>
      </c>
      <c r="H98" s="83">
        <v>-0.76489799999999997</v>
      </c>
      <c r="I98" s="84">
        <f t="shared" si="2"/>
        <v>43.696309014048026</v>
      </c>
      <c r="J98" s="85">
        <f t="shared" si="3"/>
        <v>8.8835524867724729</v>
      </c>
    </row>
    <row r="99" spans="7:10" x14ac:dyDescent="0.2">
      <c r="G99" s="82">
        <v>94</v>
      </c>
      <c r="H99" s="83">
        <v>1.437711</v>
      </c>
      <c r="I99" s="84">
        <f t="shared" si="2"/>
        <v>69.721418399660834</v>
      </c>
      <c r="J99" s="85">
        <f t="shared" si="3"/>
        <v>-17.141556898840335</v>
      </c>
    </row>
    <row r="100" spans="7:10" x14ac:dyDescent="0.2">
      <c r="G100" s="82">
        <v>95</v>
      </c>
      <c r="H100" s="83">
        <v>-0.31973600000000002</v>
      </c>
      <c r="I100" s="84">
        <f t="shared" si="2"/>
        <v>48.023801725726251</v>
      </c>
      <c r="J100" s="85">
        <f t="shared" si="3"/>
        <v>4.5560597750942478</v>
      </c>
    </row>
    <row r="101" spans="7:10" x14ac:dyDescent="0.2">
      <c r="G101" s="82">
        <v>96</v>
      </c>
      <c r="H101" s="83">
        <v>0.61268199999999995</v>
      </c>
      <c r="I101" s="84">
        <f t="shared" si="2"/>
        <v>58.52725156586844</v>
      </c>
      <c r="J101" s="85">
        <f t="shared" si="3"/>
        <v>-5.9473900650479408</v>
      </c>
    </row>
    <row r="102" spans="7:10" x14ac:dyDescent="0.2">
      <c r="G102" s="82">
        <v>97</v>
      </c>
      <c r="H102" s="83">
        <v>-0.74744100000000002</v>
      </c>
      <c r="I102" s="84">
        <f t="shared" si="2"/>
        <v>43.858424688817422</v>
      </c>
      <c r="J102" s="85">
        <f t="shared" si="3"/>
        <v>8.7214368120030752</v>
      </c>
    </row>
    <row r="103" spans="7:10" x14ac:dyDescent="0.2">
      <c r="G103" s="82">
        <v>98</v>
      </c>
      <c r="H103" s="83">
        <v>-1.388388</v>
      </c>
      <c r="I103" s="84">
        <f t="shared" si="2"/>
        <v>38.282827768722655</v>
      </c>
      <c r="J103" s="85">
        <f t="shared" si="3"/>
        <v>14.297033732097844</v>
      </c>
    </row>
    <row r="104" spans="7:10" x14ac:dyDescent="0.2">
      <c r="G104" s="82">
        <v>99</v>
      </c>
      <c r="H104" s="83">
        <v>-7.5693999999999997E-2</v>
      </c>
      <c r="I104" s="84">
        <f t="shared" si="2"/>
        <v>50.575429897712255</v>
      </c>
      <c r="J104" s="85">
        <f t="shared" si="3"/>
        <v>2.0044316031082445</v>
      </c>
    </row>
    <row r="105" spans="7:10" x14ac:dyDescent="0.2">
      <c r="G105" s="82">
        <v>100</v>
      </c>
      <c r="H105" s="83">
        <v>1.770942</v>
      </c>
      <c r="I105" s="84">
        <f t="shared" si="2"/>
        <v>74.828328355555527</v>
      </c>
      <c r="J105" s="85">
        <f t="shared" si="3"/>
        <v>-22.248466854735028</v>
      </c>
    </row>
    <row r="106" spans="7:10" x14ac:dyDescent="0.2">
      <c r="G106" s="82">
        <v>101</v>
      </c>
      <c r="H106" s="83">
        <v>0.32819399999999999</v>
      </c>
      <c r="I106" s="84">
        <f t="shared" si="2"/>
        <v>55.099655634489807</v>
      </c>
      <c r="J106" s="85">
        <f t="shared" si="3"/>
        <v>-2.5197941336693077</v>
      </c>
    </row>
    <row r="107" spans="7:10" x14ac:dyDescent="0.2">
      <c r="G107" s="82">
        <v>102</v>
      </c>
      <c r="H107" s="83">
        <v>-1.2261930000000001</v>
      </c>
      <c r="I107" s="84">
        <f t="shared" si="2"/>
        <v>39.622937874655378</v>
      </c>
      <c r="J107" s="85">
        <f t="shared" si="3"/>
        <v>12.956923626165121</v>
      </c>
    </row>
    <row r="108" spans="7:10" x14ac:dyDescent="0.2">
      <c r="G108" s="82">
        <v>103</v>
      </c>
      <c r="H108" s="83">
        <v>2.3498000000000002E-2</v>
      </c>
      <c r="I108" s="84">
        <f t="shared" si="2"/>
        <v>51.650903284057783</v>
      </c>
      <c r="J108" s="85">
        <f t="shared" si="3"/>
        <v>0.92895821676271595</v>
      </c>
    </row>
    <row r="109" spans="7:10" x14ac:dyDescent="0.2">
      <c r="G109" s="82">
        <v>104</v>
      </c>
      <c r="H109" s="83">
        <v>-0.56471800000000005</v>
      </c>
      <c r="I109" s="84">
        <f t="shared" si="2"/>
        <v>45.591816023794991</v>
      </c>
      <c r="J109" s="85">
        <f t="shared" si="3"/>
        <v>6.9880454770255085</v>
      </c>
    </row>
    <row r="110" spans="7:10" x14ac:dyDescent="0.2">
      <c r="G110" s="82">
        <v>105</v>
      </c>
      <c r="H110" s="83">
        <v>-0.62040200000000001</v>
      </c>
      <c r="I110" s="84">
        <f t="shared" si="2"/>
        <v>45.056437338819997</v>
      </c>
      <c r="J110" s="85">
        <f t="shared" si="3"/>
        <v>7.5234241620005022</v>
      </c>
    </row>
    <row r="111" spans="7:10" x14ac:dyDescent="0.2">
      <c r="G111" s="82">
        <v>106</v>
      </c>
      <c r="H111" s="83">
        <v>-1.271803</v>
      </c>
      <c r="I111" s="84">
        <f t="shared" si="2"/>
        <v>39.241421025457143</v>
      </c>
      <c r="J111" s="85">
        <f t="shared" si="3"/>
        <v>13.338440475363358</v>
      </c>
    </row>
    <row r="112" spans="7:10" x14ac:dyDescent="0.2">
      <c r="G112" s="82">
        <v>107</v>
      </c>
      <c r="H112" s="83">
        <v>0.23030100000000001</v>
      </c>
      <c r="I112" s="84">
        <f t="shared" si="2"/>
        <v>53.967241579698531</v>
      </c>
      <c r="J112" s="85">
        <f t="shared" si="3"/>
        <v>-1.3873800788780315</v>
      </c>
    </row>
    <row r="113" spans="7:10" x14ac:dyDescent="0.2">
      <c r="G113" s="82">
        <v>108</v>
      </c>
      <c r="H113" s="83">
        <v>0.76826300000000003</v>
      </c>
      <c r="I113" s="84">
        <f t="shared" si="2"/>
        <v>60.491097081978573</v>
      </c>
      <c r="J113" s="85">
        <f t="shared" si="3"/>
        <v>-7.9112355811580741</v>
      </c>
    </row>
    <row r="114" spans="7:10" x14ac:dyDescent="0.2">
      <c r="G114" s="82">
        <v>109</v>
      </c>
      <c r="H114" s="83">
        <v>-1.526022</v>
      </c>
      <c r="I114" s="84">
        <f t="shared" si="2"/>
        <v>37.181259374960014</v>
      </c>
      <c r="J114" s="85">
        <f t="shared" si="3"/>
        <v>15.398602125860485</v>
      </c>
    </row>
    <row r="115" spans="7:10" x14ac:dyDescent="0.2">
      <c r="G115" s="82">
        <v>110</v>
      </c>
      <c r="H115" s="83">
        <v>-0.1036</v>
      </c>
      <c r="I115" s="84">
        <f t="shared" si="2"/>
        <v>50.276920089700262</v>
      </c>
      <c r="J115" s="85">
        <f t="shared" si="3"/>
        <v>2.3029414111202375</v>
      </c>
    </row>
    <row r="116" spans="7:10" x14ac:dyDescent="0.2">
      <c r="G116" s="82">
        <v>111</v>
      </c>
      <c r="H116" s="83">
        <v>0.21697</v>
      </c>
      <c r="I116" s="84">
        <f t="shared" si="2"/>
        <v>53.814841472334663</v>
      </c>
      <c r="J116" s="85">
        <f t="shared" si="3"/>
        <v>-1.2349799715141643</v>
      </c>
    </row>
    <row r="117" spans="7:10" x14ac:dyDescent="0.2">
      <c r="G117" s="82">
        <v>112</v>
      </c>
      <c r="H117" s="83">
        <v>-0.431921</v>
      </c>
      <c r="I117" s="84">
        <f t="shared" si="2"/>
        <v>46.894421556377189</v>
      </c>
      <c r="J117" s="85">
        <f t="shared" si="3"/>
        <v>5.6854399444433099</v>
      </c>
    </row>
    <row r="118" spans="7:10" x14ac:dyDescent="0.2">
      <c r="G118" s="82">
        <v>113</v>
      </c>
      <c r="H118" s="83">
        <v>0.19328999999999999</v>
      </c>
      <c r="I118" s="84">
        <f t="shared" si="2"/>
        <v>53.545191932180813</v>
      </c>
      <c r="J118" s="85">
        <f t="shared" si="3"/>
        <v>-0.96533043136031438</v>
      </c>
    </row>
    <row r="119" spans="7:10" x14ac:dyDescent="0.2">
      <c r="G119" s="82">
        <v>114</v>
      </c>
      <c r="H119" s="83">
        <v>-1.698204</v>
      </c>
      <c r="I119" s="84">
        <f t="shared" si="2"/>
        <v>35.847704566122367</v>
      </c>
      <c r="J119" s="85">
        <f t="shared" si="3"/>
        <v>16.732156934698132</v>
      </c>
    </row>
    <row r="120" spans="7:10" x14ac:dyDescent="0.2">
      <c r="G120" s="82">
        <v>115</v>
      </c>
      <c r="H120" s="83">
        <v>-1.4904999999999999</v>
      </c>
      <c r="I120" s="84">
        <f t="shared" si="2"/>
        <v>37.462491592584271</v>
      </c>
      <c r="J120" s="85">
        <f t="shared" si="3"/>
        <v>15.117369908236228</v>
      </c>
    </row>
    <row r="121" spans="7:10" x14ac:dyDescent="0.2">
      <c r="G121" s="82">
        <v>116</v>
      </c>
      <c r="H121" s="83">
        <v>-0.99350700000000003</v>
      </c>
      <c r="I121" s="84">
        <f t="shared" si="2"/>
        <v>41.627805455977985</v>
      </c>
      <c r="J121" s="85">
        <f t="shared" si="3"/>
        <v>10.952056044842514</v>
      </c>
    </row>
    <row r="122" spans="7:10" x14ac:dyDescent="0.2">
      <c r="G122" s="82">
        <v>117</v>
      </c>
      <c r="H122" s="83">
        <v>1.1899569999999999</v>
      </c>
      <c r="I122" s="84">
        <f t="shared" si="2"/>
        <v>66.151727468504419</v>
      </c>
      <c r="J122" s="85">
        <f t="shared" si="3"/>
        <v>-13.57186596768392</v>
      </c>
    </row>
    <row r="123" spans="7:10" x14ac:dyDescent="0.2">
      <c r="G123" s="82">
        <v>118</v>
      </c>
      <c r="H123" s="83">
        <v>-0.45079399999999997</v>
      </c>
      <c r="I123" s="84">
        <f t="shared" si="2"/>
        <v>46.707051880157714</v>
      </c>
      <c r="J123" s="85">
        <f t="shared" si="3"/>
        <v>5.8728096206627853</v>
      </c>
    </row>
    <row r="124" spans="7:10" x14ac:dyDescent="0.2">
      <c r="G124" s="82">
        <v>119</v>
      </c>
      <c r="H124" s="83">
        <v>-0.79696800000000001</v>
      </c>
      <c r="I124" s="84">
        <f t="shared" si="2"/>
        <v>43.400048658596205</v>
      </c>
      <c r="J124" s="85">
        <f t="shared" si="3"/>
        <v>9.1798128422242939</v>
      </c>
    </row>
    <row r="125" spans="7:10" x14ac:dyDescent="0.2">
      <c r="G125" s="82">
        <v>120</v>
      </c>
      <c r="H125" s="83">
        <v>-0.40844399999999997</v>
      </c>
      <c r="I125" s="84">
        <f t="shared" si="2"/>
        <v>47.128548788408736</v>
      </c>
      <c r="J125" s="85">
        <f t="shared" si="3"/>
        <v>5.4513127124117631</v>
      </c>
    </row>
    <row r="126" spans="7:10" x14ac:dyDescent="0.2">
      <c r="G126" s="82">
        <v>121</v>
      </c>
      <c r="H126" s="83">
        <v>-0.11497499999999999</v>
      </c>
      <c r="I126" s="84">
        <f t="shared" si="2"/>
        <v>50.155748039447921</v>
      </c>
      <c r="J126" s="85">
        <f t="shared" si="3"/>
        <v>2.4241134613725777</v>
      </c>
    </row>
    <row r="127" spans="7:10" x14ac:dyDescent="0.2">
      <c r="G127" s="82">
        <v>122</v>
      </c>
      <c r="H127" s="83">
        <v>2.238143</v>
      </c>
      <c r="I127" s="84">
        <f t="shared" si="2"/>
        <v>82.624383208813569</v>
      </c>
      <c r="J127" s="85">
        <f t="shared" si="3"/>
        <v>-30.04452170799307</v>
      </c>
    </row>
    <row r="128" spans="7:10" x14ac:dyDescent="0.2">
      <c r="G128" s="82">
        <v>123</v>
      </c>
      <c r="H128" s="83">
        <v>0.50147699999999995</v>
      </c>
      <c r="I128" s="84">
        <f t="shared" si="2"/>
        <v>57.162743091862154</v>
      </c>
      <c r="J128" s="85">
        <f t="shared" si="3"/>
        <v>-4.5828815910416552</v>
      </c>
    </row>
    <row r="129" spans="7:10" x14ac:dyDescent="0.2">
      <c r="G129" s="82">
        <v>124</v>
      </c>
      <c r="H129" s="83">
        <v>-1.8230919999999999</v>
      </c>
      <c r="I129" s="84">
        <f t="shared" si="2"/>
        <v>34.910470224567987</v>
      </c>
      <c r="J129" s="85">
        <f t="shared" si="3"/>
        <v>17.669391276252512</v>
      </c>
    </row>
    <row r="130" spans="7:10" x14ac:dyDescent="0.2">
      <c r="G130" s="82">
        <v>125</v>
      </c>
      <c r="H130" s="83">
        <v>-1.1462999999999999E-2</v>
      </c>
      <c r="I130" s="84">
        <f t="shared" si="2"/>
        <v>51.269259160144109</v>
      </c>
      <c r="J130" s="85">
        <f t="shared" si="3"/>
        <v>1.3106023406763896</v>
      </c>
    </row>
    <row r="131" spans="7:10" x14ac:dyDescent="0.2">
      <c r="G131" s="82">
        <v>126</v>
      </c>
      <c r="H131" s="83">
        <v>0.28272799999999998</v>
      </c>
      <c r="I131" s="84">
        <f t="shared" si="2"/>
        <v>54.570785270099996</v>
      </c>
      <c r="J131" s="85">
        <f t="shared" si="3"/>
        <v>-1.9909237692794974</v>
      </c>
    </row>
    <row r="132" spans="7:10" x14ac:dyDescent="0.2">
      <c r="G132" s="82">
        <v>127</v>
      </c>
      <c r="H132" s="83">
        <v>-0.842781</v>
      </c>
      <c r="I132" s="84">
        <f t="shared" si="2"/>
        <v>42.980312301002058</v>
      </c>
      <c r="J132" s="85">
        <f t="shared" si="3"/>
        <v>9.5995491998184406</v>
      </c>
    </row>
    <row r="133" spans="7:10" x14ac:dyDescent="0.2">
      <c r="G133" s="82">
        <v>128</v>
      </c>
      <c r="H133" s="83">
        <v>0.816025</v>
      </c>
      <c r="I133" s="84">
        <f t="shared" si="2"/>
        <v>61.107099168391734</v>
      </c>
      <c r="J133" s="85">
        <f t="shared" si="3"/>
        <v>-8.5272376675712351</v>
      </c>
    </row>
    <row r="134" spans="7:10" x14ac:dyDescent="0.2">
      <c r="G134" s="82">
        <v>129</v>
      </c>
      <c r="H134" s="83">
        <v>0.68471099999999996</v>
      </c>
      <c r="I134" s="84">
        <f t="shared" ref="I134:I197" si="4">$C$8*EXP(($C$11-$C$12^2/2)*$C$14+H134*$C$12*SQRT($C$14))</f>
        <v>59.428395020949075</v>
      </c>
      <c r="J134" s="85">
        <f t="shared" ref="J134:J197" si="5">($C$9*EXP(-$C$10*($C$13-$C$14))-I134)*$C$15/1000000</f>
        <v>-6.8485335201285764</v>
      </c>
    </row>
    <row r="135" spans="7:10" x14ac:dyDescent="0.2">
      <c r="G135" s="82">
        <v>130</v>
      </c>
      <c r="H135" s="83">
        <v>-0.44623699999999999</v>
      </c>
      <c r="I135" s="84">
        <f t="shared" si="4"/>
        <v>46.752224748856328</v>
      </c>
      <c r="J135" s="85">
        <f t="shared" si="5"/>
        <v>5.8276367519641719</v>
      </c>
    </row>
    <row r="136" spans="7:10" x14ac:dyDescent="0.2">
      <c r="G136" s="82">
        <v>131</v>
      </c>
      <c r="H136" s="83">
        <v>-0.102406</v>
      </c>
      <c r="I136" s="84">
        <f t="shared" si="4"/>
        <v>50.289656124895345</v>
      </c>
      <c r="J136" s="85">
        <f t="shared" si="5"/>
        <v>2.2902053759251544</v>
      </c>
    </row>
    <row r="137" spans="7:10" x14ac:dyDescent="0.2">
      <c r="G137" s="82">
        <v>132</v>
      </c>
      <c r="H137" s="83">
        <v>-8.3294999999999994E-2</v>
      </c>
      <c r="I137" s="84">
        <f t="shared" si="4"/>
        <v>50.493946995720165</v>
      </c>
      <c r="J137" s="85">
        <f t="shared" si="5"/>
        <v>2.0859145051003338</v>
      </c>
    </row>
    <row r="138" spans="7:10" x14ac:dyDescent="0.2">
      <c r="G138" s="82">
        <v>133</v>
      </c>
      <c r="H138" s="83">
        <v>-0.71811400000000003</v>
      </c>
      <c r="I138" s="84">
        <f t="shared" si="4"/>
        <v>44.132127047851725</v>
      </c>
      <c r="J138" s="85">
        <f t="shared" si="5"/>
        <v>8.4477344529687741</v>
      </c>
    </row>
    <row r="139" spans="7:10" x14ac:dyDescent="0.2">
      <c r="G139" s="82">
        <v>134</v>
      </c>
      <c r="H139" s="83">
        <v>-0.66506600000000005</v>
      </c>
      <c r="I139" s="84">
        <f t="shared" si="4"/>
        <v>44.631558650792051</v>
      </c>
      <c r="J139" s="85">
        <f t="shared" si="5"/>
        <v>7.9483028500284476</v>
      </c>
    </row>
    <row r="140" spans="7:10" x14ac:dyDescent="0.2">
      <c r="G140" s="82">
        <v>135</v>
      </c>
      <c r="H140" s="83">
        <v>0.46559299999999998</v>
      </c>
      <c r="I140" s="84">
        <f t="shared" si="4"/>
        <v>56.729263896807389</v>
      </c>
      <c r="J140" s="85">
        <f t="shared" si="5"/>
        <v>-4.1494023959868898</v>
      </c>
    </row>
    <row r="141" spans="7:10" x14ac:dyDescent="0.2">
      <c r="G141" s="82">
        <v>136</v>
      </c>
      <c r="H141" s="83">
        <v>0.23042899999999999</v>
      </c>
      <c r="I141" s="84">
        <f t="shared" si="4"/>
        <v>53.96870696672854</v>
      </c>
      <c r="J141" s="85">
        <f t="shared" si="5"/>
        <v>-1.3888454659080409</v>
      </c>
    </row>
    <row r="142" spans="7:10" x14ac:dyDescent="0.2">
      <c r="G142" s="82">
        <v>137</v>
      </c>
      <c r="H142" s="83">
        <v>0.57470500000000002</v>
      </c>
      <c r="I142" s="84">
        <f t="shared" si="4"/>
        <v>58.057642094038556</v>
      </c>
      <c r="J142" s="85">
        <f t="shared" si="5"/>
        <v>-5.477780593218057</v>
      </c>
    </row>
    <row r="143" spans="7:10" x14ac:dyDescent="0.2">
      <c r="G143" s="82">
        <v>138</v>
      </c>
      <c r="H143" s="83">
        <v>2.7132E-2</v>
      </c>
      <c r="I143" s="84">
        <f t="shared" si="4"/>
        <v>51.690735687106582</v>
      </c>
      <c r="J143" s="85">
        <f t="shared" si="5"/>
        <v>0.88912581371391752</v>
      </c>
    </row>
    <row r="144" spans="7:10" x14ac:dyDescent="0.2">
      <c r="G144" s="82">
        <v>139</v>
      </c>
      <c r="H144" s="83">
        <v>-0.59473399999999998</v>
      </c>
      <c r="I144" s="84">
        <f t="shared" si="4"/>
        <v>45.302439000374775</v>
      </c>
      <c r="J144" s="85">
        <f t="shared" si="5"/>
        <v>7.2774225004457236</v>
      </c>
    </row>
    <row r="145" spans="7:10" x14ac:dyDescent="0.2">
      <c r="G145" s="82">
        <v>140</v>
      </c>
      <c r="H145" s="83">
        <v>-0.15062900000000001</v>
      </c>
      <c r="I145" s="84">
        <f t="shared" si="4"/>
        <v>49.777833237539376</v>
      </c>
      <c r="J145" s="85">
        <f t="shared" si="5"/>
        <v>2.8020282632811231</v>
      </c>
    </row>
    <row r="146" spans="7:10" x14ac:dyDescent="0.2">
      <c r="G146" s="82">
        <v>141</v>
      </c>
      <c r="H146" s="83">
        <v>-0.61888399999999999</v>
      </c>
      <c r="I146" s="84">
        <f t="shared" si="4"/>
        <v>45.070948588142059</v>
      </c>
      <c r="J146" s="85">
        <f t="shared" si="5"/>
        <v>7.50891291267844</v>
      </c>
    </row>
    <row r="147" spans="7:10" x14ac:dyDescent="0.2">
      <c r="G147" s="82">
        <v>142</v>
      </c>
      <c r="H147" s="83">
        <v>-0.48682599999999998</v>
      </c>
      <c r="I147" s="84">
        <f t="shared" si="4"/>
        <v>46.35140552290045</v>
      </c>
      <c r="J147" s="85">
        <f t="shared" si="5"/>
        <v>6.2284559779200492</v>
      </c>
    </row>
    <row r="148" spans="7:10" x14ac:dyDescent="0.2">
      <c r="G148" s="82">
        <v>143</v>
      </c>
      <c r="H148" s="83">
        <v>-1.5555239999999999</v>
      </c>
      <c r="I148" s="84">
        <f t="shared" si="4"/>
        <v>36.949293797080593</v>
      </c>
      <c r="J148" s="85">
        <f t="shared" si="5"/>
        <v>15.630567703739906</v>
      </c>
    </row>
    <row r="149" spans="7:10" x14ac:dyDescent="0.2">
      <c r="G149" s="82">
        <v>144</v>
      </c>
      <c r="H149" s="83">
        <v>0.18890299999999999</v>
      </c>
      <c r="I149" s="84">
        <f t="shared" si="4"/>
        <v>53.495384711934079</v>
      </c>
      <c r="J149" s="85">
        <f t="shared" si="5"/>
        <v>-0.91552321111358026</v>
      </c>
    </row>
    <row r="150" spans="7:10" x14ac:dyDescent="0.2">
      <c r="G150" s="82">
        <v>145</v>
      </c>
      <c r="H150" s="83">
        <v>0.77026499999999998</v>
      </c>
      <c r="I150" s="84">
        <f t="shared" si="4"/>
        <v>60.516792401011287</v>
      </c>
      <c r="J150" s="85">
        <f t="shared" si="5"/>
        <v>-7.936930900190788</v>
      </c>
    </row>
    <row r="151" spans="7:10" x14ac:dyDescent="0.2">
      <c r="G151" s="82">
        <v>146</v>
      </c>
      <c r="H151" s="83">
        <v>0.245258</v>
      </c>
      <c r="I151" s="84">
        <f t="shared" si="4"/>
        <v>54.138743951631326</v>
      </c>
      <c r="J151" s="85">
        <f t="shared" si="5"/>
        <v>-1.5588824508108277</v>
      </c>
    </row>
    <row r="152" spans="7:10" x14ac:dyDescent="0.2">
      <c r="G152" s="82">
        <v>147</v>
      </c>
      <c r="H152" s="83">
        <v>5.4279000000000001E-2</v>
      </c>
      <c r="I152" s="84">
        <f t="shared" si="4"/>
        <v>51.989268387587593</v>
      </c>
      <c r="J152" s="85">
        <f t="shared" si="5"/>
        <v>0.59059311323290586</v>
      </c>
    </row>
    <row r="153" spans="7:10" x14ac:dyDescent="0.2">
      <c r="G153" s="82">
        <v>148</v>
      </c>
      <c r="H153" s="83">
        <v>0.604661</v>
      </c>
      <c r="I153" s="84">
        <f t="shared" si="4"/>
        <v>58.427751475002729</v>
      </c>
      <c r="J153" s="85">
        <f t="shared" si="5"/>
        <v>-5.8478899741822303</v>
      </c>
    </row>
    <row r="154" spans="7:10" x14ac:dyDescent="0.2">
      <c r="G154" s="82">
        <v>149</v>
      </c>
      <c r="H154" s="83">
        <v>2.4426E-2</v>
      </c>
      <c r="I154" s="84">
        <f t="shared" si="4"/>
        <v>51.661072205728708</v>
      </c>
      <c r="J154" s="85">
        <f t="shared" si="5"/>
        <v>0.9187892950917913</v>
      </c>
    </row>
    <row r="155" spans="7:10" x14ac:dyDescent="0.2">
      <c r="G155" s="82">
        <v>150</v>
      </c>
      <c r="H155" s="83">
        <v>-1.0622720000000001</v>
      </c>
      <c r="I155" s="84">
        <f t="shared" si="4"/>
        <v>41.02497735636468</v>
      </c>
      <c r="J155" s="85">
        <f t="shared" si="5"/>
        <v>11.554884144455819</v>
      </c>
    </row>
    <row r="156" spans="7:10" x14ac:dyDescent="0.2">
      <c r="G156" s="82">
        <v>151</v>
      </c>
      <c r="H156" s="83">
        <v>0.666292</v>
      </c>
      <c r="I156" s="84">
        <f t="shared" si="4"/>
        <v>59.19664588064024</v>
      </c>
      <c r="J156" s="85">
        <f t="shared" si="5"/>
        <v>-6.6167843798197401</v>
      </c>
    </row>
    <row r="157" spans="7:10" x14ac:dyDescent="0.2">
      <c r="G157" s="82">
        <v>152</v>
      </c>
      <c r="H157" s="83">
        <v>0.93062</v>
      </c>
      <c r="I157" s="84">
        <f t="shared" si="4"/>
        <v>62.610770701491269</v>
      </c>
      <c r="J157" s="85">
        <f t="shared" si="5"/>
        <v>-10.03090920067077</v>
      </c>
    </row>
    <row r="158" spans="7:10" x14ac:dyDescent="0.2">
      <c r="G158" s="82">
        <v>153</v>
      </c>
      <c r="H158" s="83">
        <v>-1.3544940000000001</v>
      </c>
      <c r="I158" s="84">
        <f t="shared" si="4"/>
        <v>38.55907333501132</v>
      </c>
      <c r="J158" s="85">
        <f t="shared" si="5"/>
        <v>14.020788165809179</v>
      </c>
    </row>
    <row r="159" spans="7:10" x14ac:dyDescent="0.2">
      <c r="G159" s="82">
        <v>154</v>
      </c>
      <c r="H159" s="83">
        <v>-1.3311409999999999</v>
      </c>
      <c r="I159" s="84">
        <f t="shared" si="4"/>
        <v>38.750565803891824</v>
      </c>
      <c r="J159" s="85">
        <f t="shared" si="5"/>
        <v>13.829295696928675</v>
      </c>
    </row>
    <row r="160" spans="7:10" x14ac:dyDescent="0.2">
      <c r="G160" s="82">
        <v>155</v>
      </c>
      <c r="H160" s="83">
        <v>0.42634499999999997</v>
      </c>
      <c r="I160" s="84">
        <f t="shared" si="4"/>
        <v>56.258910510553292</v>
      </c>
      <c r="J160" s="85">
        <f t="shared" si="5"/>
        <v>-3.6790490097327933</v>
      </c>
    </row>
    <row r="161" spans="7:10" x14ac:dyDescent="0.2">
      <c r="G161" s="82">
        <v>156</v>
      </c>
      <c r="H161" s="83">
        <v>0.379965</v>
      </c>
      <c r="I161" s="84">
        <f t="shared" si="4"/>
        <v>55.708110896430753</v>
      </c>
      <c r="J161" s="85">
        <f t="shared" si="5"/>
        <v>-3.1282493956102542</v>
      </c>
    </row>
    <row r="162" spans="7:10" x14ac:dyDescent="0.2">
      <c r="G162" s="82">
        <v>157</v>
      </c>
      <c r="H162" s="83">
        <v>-0.80273499999999998</v>
      </c>
      <c r="I162" s="84">
        <f t="shared" si="4"/>
        <v>43.34698700239651</v>
      </c>
      <c r="J162" s="85">
        <f t="shared" si="5"/>
        <v>9.232874498423989</v>
      </c>
    </row>
    <row r="163" spans="7:10" x14ac:dyDescent="0.2">
      <c r="G163" s="82">
        <v>158</v>
      </c>
      <c r="H163" s="83">
        <v>0.37526199999999998</v>
      </c>
      <c r="I163" s="84">
        <f t="shared" si="4"/>
        <v>55.652561026466131</v>
      </c>
      <c r="J163" s="85">
        <f t="shared" si="5"/>
        <v>-3.072699525645632</v>
      </c>
    </row>
    <row r="164" spans="7:10" x14ac:dyDescent="0.2">
      <c r="G164" s="82">
        <v>159</v>
      </c>
      <c r="H164" s="83">
        <v>-0.70604599999999995</v>
      </c>
      <c r="I164" s="84">
        <f t="shared" si="4"/>
        <v>44.245250444219316</v>
      </c>
      <c r="J164" s="85">
        <f t="shared" si="5"/>
        <v>8.3346110566011831</v>
      </c>
    </row>
    <row r="165" spans="7:10" x14ac:dyDescent="0.2">
      <c r="G165" s="82">
        <v>160</v>
      </c>
      <c r="H165" s="83">
        <v>-0.84467599999999998</v>
      </c>
      <c r="I165" s="84">
        <f t="shared" si="4"/>
        <v>42.963038108705398</v>
      </c>
      <c r="J165" s="85">
        <f t="shared" si="5"/>
        <v>9.6168233921151014</v>
      </c>
    </row>
    <row r="166" spans="7:10" x14ac:dyDescent="0.2">
      <c r="G166" s="82">
        <v>161</v>
      </c>
      <c r="H166" s="83">
        <v>-0.54435900000000004</v>
      </c>
      <c r="I166" s="84">
        <f t="shared" si="4"/>
        <v>45.789143582489956</v>
      </c>
      <c r="J166" s="85">
        <f t="shared" si="5"/>
        <v>6.7907179183305431</v>
      </c>
    </row>
    <row r="167" spans="7:10" x14ac:dyDescent="0.2">
      <c r="G167" s="82">
        <v>162</v>
      </c>
      <c r="H167" s="83">
        <v>-0.76497599999999999</v>
      </c>
      <c r="I167" s="84">
        <f t="shared" si="4"/>
        <v>43.695586007849428</v>
      </c>
      <c r="J167" s="85">
        <f t="shared" si="5"/>
        <v>8.8842754929710708</v>
      </c>
    </row>
    <row r="168" spans="7:10" x14ac:dyDescent="0.2">
      <c r="G168" s="82">
        <v>163</v>
      </c>
      <c r="H168" s="83">
        <v>-0.450654</v>
      </c>
      <c r="I168" s="84">
        <f t="shared" si="4"/>
        <v>46.708439029426494</v>
      </c>
      <c r="J168" s="85">
        <f t="shared" si="5"/>
        <v>5.8714224713940055</v>
      </c>
    </row>
    <row r="169" spans="7:10" x14ac:dyDescent="0.2">
      <c r="G169" s="82">
        <v>164</v>
      </c>
      <c r="H169" s="83">
        <v>-0.35137000000000002</v>
      </c>
      <c r="I169" s="84">
        <f t="shared" si="4"/>
        <v>47.702612821036205</v>
      </c>
      <c r="J169" s="85">
        <f t="shared" si="5"/>
        <v>4.8772486797842944</v>
      </c>
    </row>
    <row r="170" spans="7:10" x14ac:dyDescent="0.2">
      <c r="G170" s="82">
        <v>165</v>
      </c>
      <c r="H170" s="83">
        <v>-0.23447599999999999</v>
      </c>
      <c r="I170" s="84">
        <f t="shared" si="4"/>
        <v>48.900280591922915</v>
      </c>
      <c r="J170" s="85">
        <f t="shared" si="5"/>
        <v>3.6795809088975844</v>
      </c>
    </row>
    <row r="171" spans="7:10" x14ac:dyDescent="0.2">
      <c r="G171" s="82">
        <v>166</v>
      </c>
      <c r="H171" s="83">
        <v>-1.030287</v>
      </c>
      <c r="I171" s="84">
        <f t="shared" si="4"/>
        <v>41.304280065624951</v>
      </c>
      <c r="J171" s="85">
        <f t="shared" si="5"/>
        <v>11.275581435195548</v>
      </c>
    </row>
    <row r="172" spans="7:10" x14ac:dyDescent="0.2">
      <c r="G172" s="82">
        <v>167</v>
      </c>
      <c r="H172" s="83">
        <v>-1.7896810000000001</v>
      </c>
      <c r="I172" s="84">
        <f t="shared" si="4"/>
        <v>35.158778606165619</v>
      </c>
      <c r="J172" s="85">
        <f t="shared" si="5"/>
        <v>17.42108289465488</v>
      </c>
    </row>
    <row r="173" spans="7:10" x14ac:dyDescent="0.2">
      <c r="G173" s="82">
        <v>168</v>
      </c>
      <c r="H173" s="83">
        <v>-0.45186399999999999</v>
      </c>
      <c r="I173" s="84">
        <f t="shared" si="4"/>
        <v>46.696451456982516</v>
      </c>
      <c r="J173" s="85">
        <f t="shared" si="5"/>
        <v>5.8834100438379835</v>
      </c>
    </row>
    <row r="174" spans="7:10" x14ac:dyDescent="0.2">
      <c r="G174" s="82">
        <v>169</v>
      </c>
      <c r="H174" s="83">
        <v>-1.198145</v>
      </c>
      <c r="I174" s="84">
        <f t="shared" si="4"/>
        <v>39.85939231262752</v>
      </c>
      <c r="J174" s="85">
        <f t="shared" si="5"/>
        <v>12.720469188192979</v>
      </c>
    </row>
    <row r="175" spans="7:10" x14ac:dyDescent="0.2">
      <c r="G175" s="82">
        <v>170</v>
      </c>
      <c r="H175" s="83">
        <v>-1.6396250000000001</v>
      </c>
      <c r="I175" s="84">
        <f t="shared" si="4"/>
        <v>36.295944693488941</v>
      </c>
      <c r="J175" s="85">
        <f t="shared" si="5"/>
        <v>16.283916807331558</v>
      </c>
    </row>
    <row r="176" spans="7:10" x14ac:dyDescent="0.2">
      <c r="G176" s="82">
        <v>171</v>
      </c>
      <c r="H176" s="83">
        <v>0.38623099999999999</v>
      </c>
      <c r="I176" s="84">
        <f t="shared" si="4"/>
        <v>55.782208429146763</v>
      </c>
      <c r="J176" s="85">
        <f t="shared" si="5"/>
        <v>-3.2023469283262642</v>
      </c>
    </row>
    <row r="177" spans="7:10" x14ac:dyDescent="0.2">
      <c r="G177" s="82">
        <v>172</v>
      </c>
      <c r="H177" s="83">
        <v>0.32251299999999999</v>
      </c>
      <c r="I177" s="84">
        <f t="shared" si="4"/>
        <v>55.03329381756609</v>
      </c>
      <c r="J177" s="85">
        <f t="shared" si="5"/>
        <v>-2.4534323167455909</v>
      </c>
    </row>
    <row r="178" spans="7:10" x14ac:dyDescent="0.2">
      <c r="G178" s="82">
        <v>173</v>
      </c>
      <c r="H178" s="83">
        <v>0.16954</v>
      </c>
      <c r="I178" s="84">
        <f t="shared" si="4"/>
        <v>53.276102406909807</v>
      </c>
      <c r="J178" s="85">
        <f t="shared" si="5"/>
        <v>-0.696240906089308</v>
      </c>
    </row>
    <row r="179" spans="7:10" x14ac:dyDescent="0.2">
      <c r="G179" s="82">
        <v>174</v>
      </c>
      <c r="H179" s="83">
        <v>0.24318200000000001</v>
      </c>
      <c r="I179" s="84">
        <f t="shared" si="4"/>
        <v>54.114907250204936</v>
      </c>
      <c r="J179" s="85">
        <f t="shared" si="5"/>
        <v>-1.5350457493844374</v>
      </c>
    </row>
    <row r="180" spans="7:10" x14ac:dyDescent="0.2">
      <c r="G180" s="82">
        <v>175</v>
      </c>
      <c r="H180" s="83">
        <v>-0.75822100000000003</v>
      </c>
      <c r="I180" s="84">
        <f t="shared" si="4"/>
        <v>43.758244563120677</v>
      </c>
      <c r="J180" s="85">
        <f t="shared" si="5"/>
        <v>8.8216169376998224</v>
      </c>
    </row>
    <row r="181" spans="7:10" x14ac:dyDescent="0.2">
      <c r="G181" s="82">
        <v>176</v>
      </c>
      <c r="H181" s="83">
        <v>-0.30779099999999998</v>
      </c>
      <c r="I181" s="84">
        <f t="shared" si="4"/>
        <v>48.145644364928899</v>
      </c>
      <c r="J181" s="85">
        <f t="shared" si="5"/>
        <v>4.4342171358916005</v>
      </c>
    </row>
    <row r="182" spans="7:10" x14ac:dyDescent="0.2">
      <c r="G182" s="82">
        <v>177</v>
      </c>
      <c r="H182" s="83">
        <v>0.58821500000000004</v>
      </c>
      <c r="I182" s="84">
        <f t="shared" si="4"/>
        <v>58.224268363595463</v>
      </c>
      <c r="J182" s="85">
        <f t="shared" si="5"/>
        <v>-5.6444068627749644</v>
      </c>
    </row>
    <row r="183" spans="7:10" x14ac:dyDescent="0.2">
      <c r="G183" s="82">
        <v>178</v>
      </c>
      <c r="H183" s="83">
        <v>-1.1697949999999999</v>
      </c>
      <c r="I183" s="84">
        <f t="shared" si="4"/>
        <v>40.099826687620642</v>
      </c>
      <c r="J183" s="85">
        <f t="shared" si="5"/>
        <v>12.480034813199858</v>
      </c>
    </row>
    <row r="184" spans="7:10" x14ac:dyDescent="0.2">
      <c r="G184" s="82">
        <v>179</v>
      </c>
      <c r="H184" s="83">
        <v>0.41156199999999998</v>
      </c>
      <c r="I184" s="84">
        <f t="shared" si="4"/>
        <v>56.082761841191264</v>
      </c>
      <c r="J184" s="85">
        <f t="shared" si="5"/>
        <v>-3.5029003403707648</v>
      </c>
    </row>
    <row r="185" spans="7:10" x14ac:dyDescent="0.2">
      <c r="G185" s="82">
        <v>180</v>
      </c>
      <c r="H185" s="83">
        <v>1.985873</v>
      </c>
      <c r="I185" s="84">
        <f t="shared" si="4"/>
        <v>78.319004298204149</v>
      </c>
      <c r="J185" s="85">
        <f t="shared" si="5"/>
        <v>-25.73914279738365</v>
      </c>
    </row>
    <row r="186" spans="7:10" x14ac:dyDescent="0.2">
      <c r="G186" s="82">
        <v>181</v>
      </c>
      <c r="H186" s="83">
        <v>0.28302300000000002</v>
      </c>
      <c r="I186" s="84">
        <f t="shared" si="4"/>
        <v>54.574200359405481</v>
      </c>
      <c r="J186" s="85">
        <f t="shared" si="5"/>
        <v>-1.9943388585849817</v>
      </c>
    </row>
    <row r="187" spans="7:10" x14ac:dyDescent="0.2">
      <c r="G187" s="82">
        <v>182</v>
      </c>
      <c r="H187" s="83">
        <v>1.7555419999999999</v>
      </c>
      <c r="I187" s="84">
        <f t="shared" si="4"/>
        <v>74.584275535515744</v>
      </c>
      <c r="J187" s="85">
        <f t="shared" si="5"/>
        <v>-22.004414034695245</v>
      </c>
    </row>
    <row r="188" spans="7:10" x14ac:dyDescent="0.2">
      <c r="G188" s="82">
        <v>183</v>
      </c>
      <c r="H188" s="83">
        <v>-1.299822</v>
      </c>
      <c r="I188" s="84">
        <f t="shared" si="4"/>
        <v>39.008872500470538</v>
      </c>
      <c r="J188" s="85">
        <f t="shared" si="5"/>
        <v>13.570989000349961</v>
      </c>
    </row>
    <row r="189" spans="7:10" x14ac:dyDescent="0.2">
      <c r="G189" s="82">
        <v>184</v>
      </c>
      <c r="H189" s="83">
        <v>-1.4250000000000001E-3</v>
      </c>
      <c r="I189" s="84">
        <f t="shared" si="4"/>
        <v>51.378547281734512</v>
      </c>
      <c r="J189" s="85">
        <f t="shared" si="5"/>
        <v>1.2013142190859867</v>
      </c>
    </row>
    <row r="190" spans="7:10" x14ac:dyDescent="0.2">
      <c r="G190" s="82">
        <v>185</v>
      </c>
      <c r="H190" s="83">
        <v>-0.228295</v>
      </c>
      <c r="I190" s="84">
        <f t="shared" si="4"/>
        <v>48.964440111542089</v>
      </c>
      <c r="J190" s="85">
        <f t="shared" si="5"/>
        <v>3.6154213892784099</v>
      </c>
    </row>
    <row r="191" spans="7:10" x14ac:dyDescent="0.2">
      <c r="G191" s="82">
        <v>186</v>
      </c>
      <c r="H191" s="83">
        <v>-7.7920000000000003E-2</v>
      </c>
      <c r="I191" s="84">
        <f t="shared" si="4"/>
        <v>50.551553518618128</v>
      </c>
      <c r="J191" s="85">
        <f t="shared" si="5"/>
        <v>2.0283079822023709</v>
      </c>
    </row>
    <row r="192" spans="7:10" x14ac:dyDescent="0.2">
      <c r="G192" s="82">
        <v>187</v>
      </c>
      <c r="H192" s="83">
        <v>0.35425000000000001</v>
      </c>
      <c r="I192" s="84">
        <f t="shared" si="4"/>
        <v>55.405051870764687</v>
      </c>
      <c r="J192" s="85">
        <f t="shared" si="5"/>
        <v>-2.8251903699441883</v>
      </c>
    </row>
    <row r="193" spans="7:10" x14ac:dyDescent="0.2">
      <c r="G193" s="82">
        <v>188</v>
      </c>
      <c r="H193" s="83">
        <v>-1.3738300000000001</v>
      </c>
      <c r="I193" s="84">
        <f t="shared" si="4"/>
        <v>38.401236233987063</v>
      </c>
      <c r="J193" s="85">
        <f t="shared" si="5"/>
        <v>14.178625266833436</v>
      </c>
    </row>
    <row r="194" spans="7:10" x14ac:dyDescent="0.2">
      <c r="G194" s="82">
        <v>189</v>
      </c>
      <c r="H194" s="83">
        <v>0.148925</v>
      </c>
      <c r="I194" s="84">
        <f t="shared" si="4"/>
        <v>53.043629267722579</v>
      </c>
      <c r="J194" s="85">
        <f t="shared" si="5"/>
        <v>-0.46376776690208033</v>
      </c>
    </row>
    <row r="195" spans="7:10" x14ac:dyDescent="0.2">
      <c r="G195" s="82">
        <v>190</v>
      </c>
      <c r="H195" s="83">
        <v>0.17835699999999999</v>
      </c>
      <c r="I195" s="84">
        <f t="shared" si="4"/>
        <v>53.375841577250895</v>
      </c>
      <c r="J195" s="85">
        <f t="shared" si="5"/>
        <v>-0.79598007643039637</v>
      </c>
    </row>
    <row r="196" spans="7:10" x14ac:dyDescent="0.2">
      <c r="G196" s="82">
        <v>191</v>
      </c>
      <c r="H196" s="83">
        <v>-0.77700400000000003</v>
      </c>
      <c r="I196" s="84">
        <f t="shared" si="4"/>
        <v>43.58423778093502</v>
      </c>
      <c r="J196" s="85">
        <f t="shared" si="5"/>
        <v>8.9956237198854794</v>
      </c>
    </row>
    <row r="197" spans="7:10" x14ac:dyDescent="0.2">
      <c r="G197" s="82">
        <v>192</v>
      </c>
      <c r="H197" s="83">
        <v>0.57244700000000004</v>
      </c>
      <c r="I197" s="84">
        <f t="shared" si="4"/>
        <v>58.029839483241574</v>
      </c>
      <c r="J197" s="85">
        <f t="shared" si="5"/>
        <v>-5.4499779824210748</v>
      </c>
    </row>
    <row r="198" spans="7:10" x14ac:dyDescent="0.2">
      <c r="G198" s="82">
        <v>193</v>
      </c>
      <c r="H198" s="83">
        <v>-1.8634539999999999</v>
      </c>
      <c r="I198" s="84">
        <f t="shared" ref="I198:I261" si="6">$C$8*EXP(($C$11-$C$12^2/2)*$C$14+H198*$C$12*SQRT($C$14))</f>
        <v>34.612840207322037</v>
      </c>
      <c r="J198" s="85">
        <f t="shared" ref="J198:J261" si="7">($C$9*EXP(-$C$10*($C$13-$C$14))-I198)*$C$15/1000000</f>
        <v>17.967021293498462</v>
      </c>
    </row>
    <row r="199" spans="7:10" x14ac:dyDescent="0.2">
      <c r="G199" s="82">
        <v>194</v>
      </c>
      <c r="H199" s="83">
        <v>-1.1425240000000001</v>
      </c>
      <c r="I199" s="84">
        <f t="shared" si="6"/>
        <v>40.33247860157644</v>
      </c>
      <c r="J199" s="85">
        <f t="shared" si="7"/>
        <v>12.247382899244059</v>
      </c>
    </row>
    <row r="200" spans="7:10" x14ac:dyDescent="0.2">
      <c r="G200" s="82">
        <v>195</v>
      </c>
      <c r="H200" s="83">
        <v>0.79330299999999998</v>
      </c>
      <c r="I200" s="84">
        <f t="shared" si="6"/>
        <v>60.813267746398239</v>
      </c>
      <c r="J200" s="85">
        <f t="shared" si="7"/>
        <v>-8.2334062455777399</v>
      </c>
    </row>
    <row r="201" spans="7:10" x14ac:dyDescent="0.2">
      <c r="G201" s="82">
        <v>196</v>
      </c>
      <c r="H201" s="83">
        <v>-0.13714499999999999</v>
      </c>
      <c r="I201" s="84">
        <f t="shared" si="6"/>
        <v>49.920421002855306</v>
      </c>
      <c r="J201" s="85">
        <f t="shared" si="7"/>
        <v>2.6594404979651931</v>
      </c>
    </row>
    <row r="202" spans="7:10" x14ac:dyDescent="0.2">
      <c r="G202" s="82">
        <v>197</v>
      </c>
      <c r="H202" s="83">
        <v>-0.80525599999999997</v>
      </c>
      <c r="I202" s="84">
        <f t="shared" si="6"/>
        <v>43.323811887483807</v>
      </c>
      <c r="J202" s="85">
        <f t="shared" si="7"/>
        <v>9.2560496133366925</v>
      </c>
    </row>
    <row r="203" spans="7:10" x14ac:dyDescent="0.2">
      <c r="G203" s="82">
        <v>198</v>
      </c>
      <c r="H203" s="83">
        <v>1.2767850000000001</v>
      </c>
      <c r="I203" s="84">
        <f t="shared" si="6"/>
        <v>67.381466672037277</v>
      </c>
      <c r="J203" s="85">
        <f t="shared" si="7"/>
        <v>-14.801605171216778</v>
      </c>
    </row>
    <row r="204" spans="7:10" x14ac:dyDescent="0.2">
      <c r="G204" s="82">
        <v>199</v>
      </c>
      <c r="H204" s="83">
        <v>0.82432300000000003</v>
      </c>
      <c r="I204" s="84">
        <f t="shared" si="6"/>
        <v>61.21475898836848</v>
      </c>
      <c r="J204" s="85">
        <f t="shared" si="7"/>
        <v>-8.6348974875479811</v>
      </c>
    </row>
    <row r="205" spans="7:10" x14ac:dyDescent="0.2">
      <c r="G205" s="82">
        <v>200</v>
      </c>
      <c r="H205" s="83">
        <v>0.68074599999999996</v>
      </c>
      <c r="I205" s="84">
        <f t="shared" si="6"/>
        <v>59.378430604502363</v>
      </c>
      <c r="J205" s="85">
        <f t="shared" si="7"/>
        <v>-6.7985691036818636</v>
      </c>
    </row>
    <row r="206" spans="7:10" x14ac:dyDescent="0.2">
      <c r="G206" s="82">
        <v>201</v>
      </c>
      <c r="H206" s="83">
        <v>-0.34311000000000003</v>
      </c>
      <c r="I206" s="84">
        <f t="shared" si="6"/>
        <v>47.786271117121728</v>
      </c>
      <c r="J206" s="85">
        <f t="shared" si="7"/>
        <v>4.7935903836987706</v>
      </c>
    </row>
    <row r="207" spans="7:10" x14ac:dyDescent="0.2">
      <c r="G207" s="82">
        <v>202</v>
      </c>
      <c r="H207" s="83">
        <v>-1.7551129999999999</v>
      </c>
      <c r="I207" s="84">
        <f t="shared" si="6"/>
        <v>35.417544836535455</v>
      </c>
      <c r="J207" s="85">
        <f t="shared" si="7"/>
        <v>17.162316664285044</v>
      </c>
    </row>
    <row r="208" spans="7:10" x14ac:dyDescent="0.2">
      <c r="G208" s="82">
        <v>203</v>
      </c>
      <c r="H208" s="83">
        <v>1.0384979999999999</v>
      </c>
      <c r="I208" s="84">
        <f t="shared" si="6"/>
        <v>64.060099591708109</v>
      </c>
      <c r="J208" s="85">
        <f t="shared" si="7"/>
        <v>-11.48023809088761</v>
      </c>
    </row>
    <row r="209" spans="7:10" x14ac:dyDescent="0.2">
      <c r="G209" s="82">
        <v>204</v>
      </c>
      <c r="H209" s="83">
        <v>0.55135699999999999</v>
      </c>
      <c r="I209" s="84">
        <f t="shared" si="6"/>
        <v>57.770801720371331</v>
      </c>
      <c r="J209" s="85">
        <f t="shared" si="7"/>
        <v>-5.1909402195508321</v>
      </c>
    </row>
    <row r="210" spans="7:10" x14ac:dyDescent="0.2">
      <c r="G210" s="82">
        <v>205</v>
      </c>
      <c r="H210" s="83">
        <v>-0.85249299999999995</v>
      </c>
      <c r="I210" s="84">
        <f t="shared" si="6"/>
        <v>42.891854283514462</v>
      </c>
      <c r="J210" s="85">
        <f t="shared" si="7"/>
        <v>9.688007217306037</v>
      </c>
    </row>
    <row r="211" spans="7:10" x14ac:dyDescent="0.2">
      <c r="G211" s="82">
        <v>206</v>
      </c>
      <c r="H211" s="83">
        <v>1.7392799999999999</v>
      </c>
      <c r="I211" s="84">
        <f t="shared" si="6"/>
        <v>74.327426101142663</v>
      </c>
      <c r="J211" s="85">
        <f t="shared" si="7"/>
        <v>-21.747564600322164</v>
      </c>
    </row>
    <row r="212" spans="7:10" x14ac:dyDescent="0.2">
      <c r="G212" s="82">
        <v>207</v>
      </c>
      <c r="H212" s="83">
        <v>0.65522899999999995</v>
      </c>
      <c r="I212" s="84">
        <f t="shared" si="6"/>
        <v>59.057885090491133</v>
      </c>
      <c r="J212" s="85">
        <f t="shared" si="7"/>
        <v>-6.4780235896706344</v>
      </c>
    </row>
    <row r="213" spans="7:10" x14ac:dyDescent="0.2">
      <c r="G213" s="82">
        <v>208</v>
      </c>
      <c r="H213" s="83">
        <v>-2.295633</v>
      </c>
      <c r="I213" s="84">
        <f t="shared" si="6"/>
        <v>31.580685235831123</v>
      </c>
      <c r="J213" s="85">
        <f t="shared" si="7"/>
        <v>20.999176264989377</v>
      </c>
    </row>
    <row r="214" spans="7:10" x14ac:dyDescent="0.2">
      <c r="G214" s="82">
        <v>209</v>
      </c>
      <c r="H214" s="83">
        <v>-1.1751529999999999</v>
      </c>
      <c r="I214" s="84">
        <f t="shared" si="6"/>
        <v>40.054274978679352</v>
      </c>
      <c r="J214" s="85">
        <f t="shared" si="7"/>
        <v>12.525586522141147</v>
      </c>
    </row>
    <row r="215" spans="7:10" x14ac:dyDescent="0.2">
      <c r="G215" s="82">
        <v>210</v>
      </c>
      <c r="H215" s="83">
        <v>-0.93797600000000003</v>
      </c>
      <c r="I215" s="84">
        <f t="shared" si="6"/>
        <v>42.121076647515387</v>
      </c>
      <c r="J215" s="85">
        <f t="shared" si="7"/>
        <v>10.458784853305112</v>
      </c>
    </row>
    <row r="216" spans="7:10" x14ac:dyDescent="0.2">
      <c r="G216" s="82">
        <v>211</v>
      </c>
      <c r="H216" s="83">
        <v>-0.77985199999999999</v>
      </c>
      <c r="I216" s="84">
        <f t="shared" si="6"/>
        <v>43.557914227550881</v>
      </c>
      <c r="J216" s="85">
        <f t="shared" si="7"/>
        <v>9.0219472732696175</v>
      </c>
    </row>
    <row r="217" spans="7:10" x14ac:dyDescent="0.2">
      <c r="G217" s="82">
        <v>212</v>
      </c>
      <c r="H217" s="83">
        <v>-0.89171500000000004</v>
      </c>
      <c r="I217" s="84">
        <f t="shared" si="6"/>
        <v>42.536464164313244</v>
      </c>
      <c r="J217" s="85">
        <f t="shared" si="7"/>
        <v>10.043397336507255</v>
      </c>
    </row>
    <row r="218" spans="7:10" x14ac:dyDescent="0.2">
      <c r="G218" s="82">
        <v>213</v>
      </c>
      <c r="H218" s="83">
        <v>-0.52981100000000003</v>
      </c>
      <c r="I218" s="84">
        <f t="shared" si="6"/>
        <v>45.930671585850064</v>
      </c>
      <c r="J218" s="85">
        <f t="shared" si="7"/>
        <v>6.6491899149704352</v>
      </c>
    </row>
    <row r="219" spans="7:10" x14ac:dyDescent="0.2">
      <c r="G219" s="82">
        <v>214</v>
      </c>
      <c r="H219" s="83">
        <v>0.35648999999999997</v>
      </c>
      <c r="I219" s="84">
        <f t="shared" si="6"/>
        <v>55.431385264226229</v>
      </c>
      <c r="J219" s="85">
        <f t="shared" si="7"/>
        <v>-2.85152376340573</v>
      </c>
    </row>
    <row r="220" spans="7:10" x14ac:dyDescent="0.2">
      <c r="G220" s="82">
        <v>215</v>
      </c>
      <c r="H220" s="83">
        <v>-0.35251700000000002</v>
      </c>
      <c r="I220" s="84">
        <f t="shared" si="6"/>
        <v>47.691007450586206</v>
      </c>
      <c r="J220" s="85">
        <f t="shared" si="7"/>
        <v>4.8888540502342934</v>
      </c>
    </row>
    <row r="221" spans="7:10" x14ac:dyDescent="0.2">
      <c r="G221" s="82">
        <v>216</v>
      </c>
      <c r="H221" s="83">
        <v>-0.18967600000000001</v>
      </c>
      <c r="I221" s="84">
        <f t="shared" si="6"/>
        <v>49.367220419325577</v>
      </c>
      <c r="J221" s="85">
        <f t="shared" si="7"/>
        <v>3.2126410814949224</v>
      </c>
    </row>
    <row r="222" spans="7:10" x14ac:dyDescent="0.2">
      <c r="G222" s="82">
        <v>217</v>
      </c>
      <c r="H222" s="83">
        <v>0.50083900000000003</v>
      </c>
      <c r="I222" s="84">
        <f t="shared" si="6"/>
        <v>57.155007196112791</v>
      </c>
      <c r="J222" s="85">
        <f t="shared" si="7"/>
        <v>-4.5751456952922922</v>
      </c>
    </row>
    <row r="223" spans="7:10" x14ac:dyDescent="0.2">
      <c r="G223" s="82">
        <v>218</v>
      </c>
      <c r="H223" s="83">
        <v>-0.62353400000000003</v>
      </c>
      <c r="I223" s="84">
        <f t="shared" si="6"/>
        <v>45.026511895365459</v>
      </c>
      <c r="J223" s="85">
        <f t="shared" si="7"/>
        <v>7.5533496054550398</v>
      </c>
    </row>
    <row r="224" spans="7:10" x14ac:dyDescent="0.2">
      <c r="G224" s="82">
        <v>219</v>
      </c>
      <c r="H224" s="83">
        <v>0.45495099999999999</v>
      </c>
      <c r="I224" s="84">
        <f t="shared" si="6"/>
        <v>56.601341514078776</v>
      </c>
      <c r="J224" s="85">
        <f t="shared" si="7"/>
        <v>-4.0214800132582766</v>
      </c>
    </row>
    <row r="225" spans="7:10" x14ac:dyDescent="0.2">
      <c r="G225" s="82">
        <v>220</v>
      </c>
      <c r="H225" s="83">
        <v>0.74695100000000003</v>
      </c>
      <c r="I225" s="84">
        <f t="shared" si="6"/>
        <v>60.218236637809831</v>
      </c>
      <c r="J225" s="85">
        <f t="shared" si="7"/>
        <v>-7.6383751369893318</v>
      </c>
    </row>
    <row r="226" spans="7:10" x14ac:dyDescent="0.2">
      <c r="G226" s="82">
        <v>221</v>
      </c>
      <c r="H226" s="83">
        <v>5.3372000000000003E-2</v>
      </c>
      <c r="I226" s="84">
        <f t="shared" si="6"/>
        <v>51.979266419360734</v>
      </c>
      <c r="J226" s="85">
        <f t="shared" si="7"/>
        <v>0.60059508145976537</v>
      </c>
    </row>
    <row r="227" spans="7:10" x14ac:dyDescent="0.2">
      <c r="G227" s="82">
        <v>222</v>
      </c>
      <c r="H227" s="83">
        <v>-1.2474529999999999</v>
      </c>
      <c r="I227" s="84">
        <f t="shared" si="6"/>
        <v>39.444643664458887</v>
      </c>
      <c r="J227" s="85">
        <f t="shared" si="7"/>
        <v>13.135217836361612</v>
      </c>
    </row>
    <row r="228" spans="7:10" x14ac:dyDescent="0.2">
      <c r="G228" s="82">
        <v>223</v>
      </c>
      <c r="H228" s="83">
        <v>0.52191100000000001</v>
      </c>
      <c r="I228" s="84">
        <f t="shared" si="6"/>
        <v>57.411064588264693</v>
      </c>
      <c r="J228" s="85">
        <f t="shared" si="7"/>
        <v>-4.8312030874441945</v>
      </c>
    </row>
    <row r="229" spans="7:10" x14ac:dyDescent="0.2">
      <c r="G229" s="82">
        <v>224</v>
      </c>
      <c r="H229" s="83">
        <v>0.85848999999999998</v>
      </c>
      <c r="I229" s="84">
        <f t="shared" si="6"/>
        <v>61.660050138503685</v>
      </c>
      <c r="J229" s="85">
        <f t="shared" si="7"/>
        <v>-9.080188637683186</v>
      </c>
    </row>
    <row r="230" spans="7:10" x14ac:dyDescent="0.2">
      <c r="G230" s="82">
        <v>225</v>
      </c>
      <c r="H230" s="83">
        <v>-0.915547</v>
      </c>
      <c r="I230" s="84">
        <f t="shared" si="6"/>
        <v>42.321962433192439</v>
      </c>
      <c r="J230" s="85">
        <f t="shared" si="7"/>
        <v>10.25789906762806</v>
      </c>
    </row>
    <row r="231" spans="7:10" x14ac:dyDescent="0.2">
      <c r="G231" s="82">
        <v>226</v>
      </c>
      <c r="H231" s="83">
        <v>0.37746200000000002</v>
      </c>
      <c r="I231" s="84">
        <f t="shared" si="6"/>
        <v>55.678539608145798</v>
      </c>
      <c r="J231" s="85">
        <f t="shared" si="7"/>
        <v>-3.098678107325298</v>
      </c>
    </row>
    <row r="232" spans="7:10" x14ac:dyDescent="0.2">
      <c r="G232" s="82">
        <v>227</v>
      </c>
      <c r="H232" s="83">
        <v>-8.5214999999999999E-2</v>
      </c>
      <c r="I232" s="84">
        <f t="shared" si="6"/>
        <v>50.473385326619734</v>
      </c>
      <c r="J232" s="85">
        <f t="shared" si="7"/>
        <v>2.1064761742007647</v>
      </c>
    </row>
    <row r="233" spans="7:10" x14ac:dyDescent="0.2">
      <c r="G233" s="82">
        <v>228</v>
      </c>
      <c r="H233" s="83">
        <v>1.6111040000000001</v>
      </c>
      <c r="I233" s="84">
        <f t="shared" si="6"/>
        <v>72.333673997721405</v>
      </c>
      <c r="J233" s="85">
        <f t="shared" si="7"/>
        <v>-19.753812496900906</v>
      </c>
    </row>
    <row r="234" spans="7:10" x14ac:dyDescent="0.2">
      <c r="G234" s="82">
        <v>229</v>
      </c>
      <c r="H234" s="83">
        <v>1.074082</v>
      </c>
      <c r="I234" s="84">
        <f t="shared" si="6"/>
        <v>64.545487329149935</v>
      </c>
      <c r="J234" s="85">
        <f t="shared" si="7"/>
        <v>-11.965625828329436</v>
      </c>
    </row>
    <row r="235" spans="7:10" x14ac:dyDescent="0.2">
      <c r="G235" s="82">
        <v>230</v>
      </c>
      <c r="H235" s="83">
        <v>1.4324300000000001</v>
      </c>
      <c r="I235" s="84">
        <f t="shared" si="6"/>
        <v>69.643355370897851</v>
      </c>
      <c r="J235" s="85">
        <f t="shared" si="7"/>
        <v>-17.063493870077352</v>
      </c>
    </row>
    <row r="236" spans="7:10" x14ac:dyDescent="0.2">
      <c r="G236" s="82">
        <v>231</v>
      </c>
      <c r="H236" s="83">
        <v>-0.34658</v>
      </c>
      <c r="I236" s="84">
        <f t="shared" si="6"/>
        <v>47.751108674009188</v>
      </c>
      <c r="J236" s="85">
        <f t="shared" si="7"/>
        <v>4.8287528268113107</v>
      </c>
    </row>
    <row r="237" spans="7:10" x14ac:dyDescent="0.2">
      <c r="G237" s="82">
        <v>232</v>
      </c>
      <c r="H237" s="83">
        <v>-0.46694600000000003</v>
      </c>
      <c r="I237" s="84">
        <f t="shared" si="6"/>
        <v>46.547290719451787</v>
      </c>
      <c r="J237" s="85">
        <f t="shared" si="7"/>
        <v>6.0325707813687117</v>
      </c>
    </row>
    <row r="238" spans="7:10" x14ac:dyDescent="0.2">
      <c r="G238" s="82">
        <v>233</v>
      </c>
      <c r="H238" s="83">
        <v>-1.033328</v>
      </c>
      <c r="I238" s="84">
        <f t="shared" si="6"/>
        <v>41.27764353480228</v>
      </c>
      <c r="J238" s="85">
        <f t="shared" si="7"/>
        <v>11.302217966018219</v>
      </c>
    </row>
    <row r="239" spans="7:10" x14ac:dyDescent="0.2">
      <c r="G239" s="82">
        <v>234</v>
      </c>
      <c r="H239" s="83">
        <v>-0.80018999999999996</v>
      </c>
      <c r="I239" s="84">
        <f t="shared" si="6"/>
        <v>43.370395319766814</v>
      </c>
      <c r="J239" s="85">
        <f t="shared" si="7"/>
        <v>9.2094661810536849</v>
      </c>
    </row>
    <row r="240" spans="7:10" x14ac:dyDescent="0.2">
      <c r="G240" s="82">
        <v>235</v>
      </c>
      <c r="H240" s="83">
        <v>-2.3103099999999999</v>
      </c>
      <c r="I240" s="84">
        <f t="shared" si="6"/>
        <v>31.48251288381763</v>
      </c>
      <c r="J240" s="85">
        <f t="shared" si="7"/>
        <v>21.097348617002869</v>
      </c>
    </row>
    <row r="241" spans="7:10" x14ac:dyDescent="0.2">
      <c r="G241" s="82">
        <v>236</v>
      </c>
      <c r="H241" s="83">
        <v>-0.68332099999999996</v>
      </c>
      <c r="I241" s="84">
        <f t="shared" si="6"/>
        <v>44.459058482503011</v>
      </c>
      <c r="J241" s="85">
        <f t="shared" si="7"/>
        <v>8.1208030183174884</v>
      </c>
    </row>
    <row r="242" spans="7:10" x14ac:dyDescent="0.2">
      <c r="G242" s="82">
        <v>237</v>
      </c>
      <c r="H242" s="83">
        <v>1.214453</v>
      </c>
      <c r="I242" s="84">
        <f t="shared" si="6"/>
        <v>66.496372077486427</v>
      </c>
      <c r="J242" s="85">
        <f t="shared" si="7"/>
        <v>-13.916510576665928</v>
      </c>
    </row>
    <row r="243" spans="7:10" x14ac:dyDescent="0.2">
      <c r="G243" s="82">
        <v>238</v>
      </c>
      <c r="H243" s="83">
        <v>1.2143660000000001</v>
      </c>
      <c r="I243" s="84">
        <f t="shared" si="6"/>
        <v>66.495144865881159</v>
      </c>
      <c r="J243" s="85">
        <f t="shared" si="7"/>
        <v>-13.91528336506066</v>
      </c>
    </row>
    <row r="244" spans="7:10" x14ac:dyDescent="0.2">
      <c r="G244" s="82">
        <v>239</v>
      </c>
      <c r="H244" s="83">
        <v>2.2302409999999999</v>
      </c>
      <c r="I244" s="84">
        <f t="shared" si="6"/>
        <v>82.485998671269968</v>
      </c>
      <c r="J244" s="85">
        <f t="shared" si="7"/>
        <v>-29.906137170449469</v>
      </c>
    </row>
    <row r="245" spans="7:10" x14ac:dyDescent="0.2">
      <c r="G245" s="82">
        <v>240</v>
      </c>
      <c r="H245" s="83">
        <v>1.3749499999999999</v>
      </c>
      <c r="I245" s="84">
        <f t="shared" si="6"/>
        <v>68.79932584081179</v>
      </c>
      <c r="J245" s="85">
        <f t="shared" si="7"/>
        <v>-16.219464339991291</v>
      </c>
    </row>
    <row r="246" spans="7:10" x14ac:dyDescent="0.2">
      <c r="G246" s="82">
        <v>241</v>
      </c>
      <c r="H246" s="83">
        <v>-0.52168499999999995</v>
      </c>
      <c r="I246" s="84">
        <f t="shared" si="6"/>
        <v>46.009914463706458</v>
      </c>
      <c r="J246" s="85">
        <f t="shared" si="7"/>
        <v>6.5699470371140407</v>
      </c>
    </row>
    <row r="247" spans="7:10" x14ac:dyDescent="0.2">
      <c r="G247" s="82">
        <v>242</v>
      </c>
      <c r="H247" s="83">
        <v>1.2342919999999999</v>
      </c>
      <c r="I247" s="84">
        <f t="shared" si="6"/>
        <v>66.776810921249293</v>
      </c>
      <c r="J247" s="85">
        <f t="shared" si="7"/>
        <v>-14.196949420428794</v>
      </c>
    </row>
    <row r="248" spans="7:10" x14ac:dyDescent="0.2">
      <c r="G248" s="82">
        <v>243</v>
      </c>
      <c r="H248" s="83">
        <v>-0.79915099999999994</v>
      </c>
      <c r="I248" s="84">
        <f t="shared" si="6"/>
        <v>43.379955433224808</v>
      </c>
      <c r="J248" s="85">
        <f t="shared" si="7"/>
        <v>9.1999060675956912</v>
      </c>
    </row>
    <row r="249" spans="7:10" x14ac:dyDescent="0.2">
      <c r="G249" s="82">
        <v>244</v>
      </c>
      <c r="H249" s="83">
        <v>-0.26016899999999998</v>
      </c>
      <c r="I249" s="84">
        <f t="shared" si="6"/>
        <v>48.634483978597387</v>
      </c>
      <c r="J249" s="85">
        <f t="shared" si="7"/>
        <v>3.9453775222231116</v>
      </c>
    </row>
    <row r="250" spans="7:10" x14ac:dyDescent="0.2">
      <c r="G250" s="82">
        <v>245</v>
      </c>
      <c r="H250" s="83">
        <v>-0.83626999999999996</v>
      </c>
      <c r="I250" s="84">
        <f t="shared" si="6"/>
        <v>43.039717366017612</v>
      </c>
      <c r="J250" s="85">
        <f t="shared" si="7"/>
        <v>9.5401441348028868</v>
      </c>
    </row>
    <row r="251" spans="7:10" x14ac:dyDescent="0.2">
      <c r="G251" s="82">
        <v>246</v>
      </c>
      <c r="H251" s="83">
        <v>0.79102600000000001</v>
      </c>
      <c r="I251" s="84">
        <f t="shared" si="6"/>
        <v>60.783900532617231</v>
      </c>
      <c r="J251" s="85">
        <f t="shared" si="7"/>
        <v>-8.2040390317967322</v>
      </c>
    </row>
    <row r="252" spans="7:10" x14ac:dyDescent="0.2">
      <c r="G252" s="82">
        <v>247</v>
      </c>
      <c r="H252" s="83">
        <v>0.39532499999999998</v>
      </c>
      <c r="I252" s="84">
        <f t="shared" si="6"/>
        <v>55.889923354088843</v>
      </c>
      <c r="J252" s="85">
        <f t="shared" si="7"/>
        <v>-3.3100618532683441</v>
      </c>
    </row>
    <row r="253" spans="7:10" x14ac:dyDescent="0.2">
      <c r="G253" s="82">
        <v>248</v>
      </c>
      <c r="H253" s="83">
        <v>0.35396699999999998</v>
      </c>
      <c r="I253" s="84">
        <f t="shared" si="6"/>
        <v>55.401725818860882</v>
      </c>
      <c r="J253" s="85">
        <f t="shared" si="7"/>
        <v>-2.8218643180403831</v>
      </c>
    </row>
    <row r="254" spans="7:10" x14ac:dyDescent="0.2">
      <c r="G254" s="82">
        <v>249</v>
      </c>
      <c r="H254" s="83">
        <v>-0.31252000000000002</v>
      </c>
      <c r="I254" s="84">
        <f t="shared" si="6"/>
        <v>48.097370201483024</v>
      </c>
      <c r="J254" s="85">
        <f t="shared" si="7"/>
        <v>4.4824912993374753</v>
      </c>
    </row>
    <row r="255" spans="7:10" x14ac:dyDescent="0.2">
      <c r="G255" s="82">
        <v>250</v>
      </c>
      <c r="H255" s="83">
        <v>0.55450900000000003</v>
      </c>
      <c r="I255" s="84">
        <f t="shared" si="6"/>
        <v>57.80944251614153</v>
      </c>
      <c r="J255" s="85">
        <f t="shared" si="7"/>
        <v>-5.2295810153210311</v>
      </c>
    </row>
    <row r="256" spans="7:10" x14ac:dyDescent="0.2">
      <c r="G256" s="82">
        <v>251</v>
      </c>
      <c r="H256" s="83">
        <v>-2.0436719999999999</v>
      </c>
      <c r="I256" s="84">
        <f t="shared" si="6"/>
        <v>33.314565591800573</v>
      </c>
      <c r="J256" s="85">
        <f t="shared" si="7"/>
        <v>19.265295909019926</v>
      </c>
    </row>
    <row r="257" spans="7:10" x14ac:dyDescent="0.2">
      <c r="G257" s="82">
        <v>252</v>
      </c>
      <c r="H257" s="83">
        <v>-1.3440350000000001</v>
      </c>
      <c r="I257" s="84">
        <f t="shared" si="6"/>
        <v>38.644718900140226</v>
      </c>
      <c r="J257" s="85">
        <f t="shared" si="7"/>
        <v>13.935142600680273</v>
      </c>
    </row>
    <row r="258" spans="7:10" x14ac:dyDescent="0.2">
      <c r="G258" s="82">
        <v>253</v>
      </c>
      <c r="H258" s="83">
        <v>1.0453140000000001</v>
      </c>
      <c r="I258" s="84">
        <f t="shared" si="6"/>
        <v>64.152790568198483</v>
      </c>
      <c r="J258" s="85">
        <f t="shared" si="7"/>
        <v>-11.572929067377984</v>
      </c>
    </row>
    <row r="259" spans="7:10" x14ac:dyDescent="0.2">
      <c r="G259" s="82">
        <v>254</v>
      </c>
      <c r="H259" s="83">
        <v>-0.43202000000000002</v>
      </c>
      <c r="I259" s="84">
        <f t="shared" si="6"/>
        <v>46.89343673362297</v>
      </c>
      <c r="J259" s="85">
        <f t="shared" si="7"/>
        <v>5.6864247671975292</v>
      </c>
    </row>
    <row r="260" spans="7:10" x14ac:dyDescent="0.2">
      <c r="G260" s="82">
        <v>255</v>
      </c>
      <c r="H260" s="83">
        <v>0.23236100000000001</v>
      </c>
      <c r="I260" s="84">
        <f t="shared" si="6"/>
        <v>53.990829985629851</v>
      </c>
      <c r="J260" s="85">
        <f t="shared" si="7"/>
        <v>-1.4109684848093522</v>
      </c>
    </row>
    <row r="261" spans="7:10" x14ac:dyDescent="0.2">
      <c r="G261" s="82">
        <v>256</v>
      </c>
      <c r="H261" s="83">
        <v>-2.4333580000000001</v>
      </c>
      <c r="I261" s="84">
        <f t="shared" si="6"/>
        <v>30.671375409986851</v>
      </c>
      <c r="J261" s="85">
        <f t="shared" si="7"/>
        <v>21.908486090833648</v>
      </c>
    </row>
    <row r="262" spans="7:10" x14ac:dyDescent="0.2">
      <c r="G262" s="82">
        <v>257</v>
      </c>
      <c r="H262" s="83">
        <v>0.84151399999999998</v>
      </c>
      <c r="I262" s="84">
        <f t="shared" ref="I262:I325" si="8">$C$8*EXP(($C$11-$C$12^2/2)*$C$14+H262*$C$12*SQRT($C$14))</f>
        <v>61.438402172063192</v>
      </c>
      <c r="J262" s="85">
        <f t="shared" ref="J262:J325" si="9">($C$9*EXP(-$C$10*($C$13-$C$14))-I262)*$C$15/1000000</f>
        <v>-8.8585406712426931</v>
      </c>
    </row>
    <row r="263" spans="7:10" x14ac:dyDescent="0.2">
      <c r="G263" s="82">
        <v>258</v>
      </c>
      <c r="H263" s="83">
        <v>-0.56921999999999995</v>
      </c>
      <c r="I263" s="84">
        <f t="shared" si="8"/>
        <v>45.548295784374503</v>
      </c>
      <c r="J263" s="85">
        <f t="shared" si="9"/>
        <v>7.0315657164459964</v>
      </c>
    </row>
    <row r="264" spans="7:10" x14ac:dyDescent="0.2">
      <c r="G264" s="82">
        <v>259</v>
      </c>
      <c r="H264" s="83">
        <v>-0.63392800000000005</v>
      </c>
      <c r="I264" s="84">
        <f t="shared" si="8"/>
        <v>44.927342292571872</v>
      </c>
      <c r="J264" s="85">
        <f t="shared" si="9"/>
        <v>7.6525192082486271</v>
      </c>
    </row>
    <row r="265" spans="7:10" x14ac:dyDescent="0.2">
      <c r="G265" s="82">
        <v>260</v>
      </c>
      <c r="H265" s="83">
        <v>-1.1850309999999999</v>
      </c>
      <c r="I265" s="84">
        <f t="shared" si="8"/>
        <v>39.970431514453537</v>
      </c>
      <c r="J265" s="85">
        <f t="shared" si="9"/>
        <v>12.609429986366962</v>
      </c>
    </row>
    <row r="266" spans="7:10" x14ac:dyDescent="0.2">
      <c r="G266" s="82">
        <v>261</v>
      </c>
      <c r="H266" s="83">
        <v>-0.66087899999999999</v>
      </c>
      <c r="I266" s="84">
        <f t="shared" si="8"/>
        <v>44.671217869596546</v>
      </c>
      <c r="J266" s="85">
        <f t="shared" si="9"/>
        <v>7.9086436312239528</v>
      </c>
    </row>
    <row r="267" spans="7:10" x14ac:dyDescent="0.2">
      <c r="G267" s="82">
        <v>262</v>
      </c>
      <c r="H267" s="83">
        <v>0.46568900000000002</v>
      </c>
      <c r="I267" s="84">
        <f t="shared" si="8"/>
        <v>56.730419181610017</v>
      </c>
      <c r="J267" s="85">
        <f t="shared" si="9"/>
        <v>-4.1505576807895181</v>
      </c>
    </row>
    <row r="268" spans="7:10" x14ac:dyDescent="0.2">
      <c r="G268" s="82">
        <v>263</v>
      </c>
      <c r="H268" s="83">
        <v>0.79153099999999998</v>
      </c>
      <c r="I268" s="84">
        <f t="shared" si="8"/>
        <v>60.790412458711927</v>
      </c>
      <c r="J268" s="85">
        <f t="shared" si="9"/>
        <v>-8.210550957891428</v>
      </c>
    </row>
    <row r="269" spans="7:10" x14ac:dyDescent="0.2">
      <c r="G269" s="82">
        <v>264</v>
      </c>
      <c r="H269" s="83">
        <v>-1.4649380000000001</v>
      </c>
      <c r="I269" s="84">
        <f t="shared" si="8"/>
        <v>37.666184432405977</v>
      </c>
      <c r="J269" s="85">
        <f t="shared" si="9"/>
        <v>14.913677068414522</v>
      </c>
    </row>
    <row r="270" spans="7:10" x14ac:dyDescent="0.2">
      <c r="G270" s="82">
        <v>265</v>
      </c>
      <c r="H270" s="83">
        <v>-0.60638800000000004</v>
      </c>
      <c r="I270" s="84">
        <f t="shared" si="8"/>
        <v>45.190581235525627</v>
      </c>
      <c r="J270" s="85">
        <f t="shared" si="9"/>
        <v>7.3892802652948717</v>
      </c>
    </row>
    <row r="271" spans="7:10" x14ac:dyDescent="0.2">
      <c r="G271" s="82">
        <v>266</v>
      </c>
      <c r="H271" s="83">
        <v>-0.332762</v>
      </c>
      <c r="I271" s="84">
        <f t="shared" si="8"/>
        <v>47.891283998745202</v>
      </c>
      <c r="J271" s="85">
        <f t="shared" si="9"/>
        <v>4.6885775020752973</v>
      </c>
    </row>
    <row r="272" spans="7:10" x14ac:dyDescent="0.2">
      <c r="G272" s="82">
        <v>267</v>
      </c>
      <c r="H272" s="83">
        <v>0.925512</v>
      </c>
      <c r="I272" s="84">
        <f t="shared" si="8"/>
        <v>62.54296426482567</v>
      </c>
      <c r="J272" s="85">
        <f t="shared" si="9"/>
        <v>-9.9631027640051713</v>
      </c>
    </row>
    <row r="273" spans="7:10" x14ac:dyDescent="0.2">
      <c r="G273" s="82">
        <v>268</v>
      </c>
      <c r="H273" s="83">
        <v>-0.18443799999999999</v>
      </c>
      <c r="I273" s="84">
        <f t="shared" si="8"/>
        <v>49.422105174498498</v>
      </c>
      <c r="J273" s="85">
        <f t="shared" si="9"/>
        <v>3.1577563263220014</v>
      </c>
    </row>
    <row r="274" spans="7:10" x14ac:dyDescent="0.2">
      <c r="G274" s="82">
        <v>269</v>
      </c>
      <c r="H274" s="83">
        <v>-1.29057</v>
      </c>
      <c r="I274" s="84">
        <f t="shared" si="8"/>
        <v>39.085508271565814</v>
      </c>
      <c r="J274" s="85">
        <f t="shared" si="9"/>
        <v>13.494353229254685</v>
      </c>
    </row>
    <row r="275" spans="7:10" x14ac:dyDescent="0.2">
      <c r="G275" s="82">
        <v>270</v>
      </c>
      <c r="H275" s="83">
        <v>-1.500885</v>
      </c>
      <c r="I275" s="84">
        <f t="shared" si="8"/>
        <v>37.380052893349628</v>
      </c>
      <c r="J275" s="85">
        <f t="shared" si="9"/>
        <v>15.199808607470869</v>
      </c>
    </row>
    <row r="276" spans="7:10" x14ac:dyDescent="0.2">
      <c r="G276" s="82">
        <v>271</v>
      </c>
      <c r="H276" s="83">
        <v>-2.2577159999999998</v>
      </c>
      <c r="I276" s="84">
        <f t="shared" si="8"/>
        <v>31.835725969833756</v>
      </c>
      <c r="J276" s="85">
        <f t="shared" si="9"/>
        <v>20.744135530986743</v>
      </c>
    </row>
    <row r="277" spans="7:10" x14ac:dyDescent="0.2">
      <c r="G277" s="82">
        <v>272</v>
      </c>
      <c r="H277" s="83">
        <v>0.27986100000000003</v>
      </c>
      <c r="I277" s="84">
        <f t="shared" si="8"/>
        <v>54.537606361607452</v>
      </c>
      <c r="J277" s="85">
        <f t="shared" si="9"/>
        <v>-1.9577448607869528</v>
      </c>
    </row>
    <row r="278" spans="7:10" x14ac:dyDescent="0.2">
      <c r="G278" s="82">
        <v>273</v>
      </c>
      <c r="H278" s="83">
        <v>-0.24152100000000001</v>
      </c>
      <c r="I278" s="84">
        <f t="shared" si="8"/>
        <v>48.827255161440704</v>
      </c>
      <c r="J278" s="85">
        <f t="shared" si="9"/>
        <v>3.7526063393797955</v>
      </c>
    </row>
    <row r="279" spans="7:10" x14ac:dyDescent="0.2">
      <c r="G279" s="82">
        <v>274</v>
      </c>
      <c r="H279" s="83">
        <v>-0.28192</v>
      </c>
      <c r="I279" s="84">
        <f t="shared" si="8"/>
        <v>48.410597303252395</v>
      </c>
      <c r="J279" s="85">
        <f t="shared" si="9"/>
        <v>4.1692641975681042</v>
      </c>
    </row>
    <row r="280" spans="7:10" x14ac:dyDescent="0.2">
      <c r="G280" s="82">
        <v>275</v>
      </c>
      <c r="H280" s="83">
        <v>-0.21817400000000001</v>
      </c>
      <c r="I280" s="84">
        <f t="shared" si="8"/>
        <v>49.069679125584557</v>
      </c>
      <c r="J280" s="85">
        <f t="shared" si="9"/>
        <v>3.5101823752359422</v>
      </c>
    </row>
    <row r="281" spans="7:10" x14ac:dyDescent="0.2">
      <c r="G281" s="82">
        <v>276</v>
      </c>
      <c r="H281" s="83">
        <v>9.0979000000000004E-2</v>
      </c>
      <c r="I281" s="84">
        <f t="shared" si="8"/>
        <v>52.395597246407085</v>
      </c>
      <c r="J281" s="85">
        <f t="shared" si="9"/>
        <v>0.18426425441341365</v>
      </c>
    </row>
    <row r="282" spans="7:10" x14ac:dyDescent="0.2">
      <c r="G282" s="82">
        <v>277</v>
      </c>
      <c r="H282" s="83">
        <v>-0.446882</v>
      </c>
      <c r="I282" s="84">
        <f t="shared" si="8"/>
        <v>46.74582830573091</v>
      </c>
      <c r="J282" s="85">
        <f t="shared" si="9"/>
        <v>5.8340331950895887</v>
      </c>
    </row>
    <row r="283" spans="7:10" x14ac:dyDescent="0.2">
      <c r="G283" s="82">
        <v>278</v>
      </c>
      <c r="H283" s="83">
        <v>0.42703099999999999</v>
      </c>
      <c r="I283" s="84">
        <f t="shared" si="8"/>
        <v>56.267098047830757</v>
      </c>
      <c r="J283" s="85">
        <f t="shared" si="9"/>
        <v>-3.6872365470102579</v>
      </c>
    </row>
    <row r="284" spans="7:10" x14ac:dyDescent="0.2">
      <c r="G284" s="82">
        <v>279</v>
      </c>
      <c r="H284" s="83">
        <v>-0.84514599999999995</v>
      </c>
      <c r="I284" s="84">
        <f t="shared" si="8"/>
        <v>42.958754818997569</v>
      </c>
      <c r="J284" s="85">
        <f t="shared" si="9"/>
        <v>9.6211066818229298</v>
      </c>
    </row>
    <row r="285" spans="7:10" x14ac:dyDescent="0.2">
      <c r="G285" s="82">
        <v>280</v>
      </c>
      <c r="H285" s="83">
        <v>0.74710600000000005</v>
      </c>
      <c r="I285" s="84">
        <f t="shared" si="8"/>
        <v>60.220216674003623</v>
      </c>
      <c r="J285" s="85">
        <f t="shared" si="9"/>
        <v>-7.6403551731831243</v>
      </c>
    </row>
    <row r="286" spans="7:10" x14ac:dyDescent="0.2">
      <c r="G286" s="82">
        <v>281</v>
      </c>
      <c r="H286" s="83">
        <v>0.40901700000000002</v>
      </c>
      <c r="I286" s="84">
        <f t="shared" si="8"/>
        <v>56.052492274162823</v>
      </c>
      <c r="J286" s="85">
        <f t="shared" si="9"/>
        <v>-3.4726307733423241</v>
      </c>
    </row>
    <row r="287" spans="7:10" x14ac:dyDescent="0.2">
      <c r="G287" s="82">
        <v>282</v>
      </c>
      <c r="H287" s="83">
        <v>-0.45658199999999999</v>
      </c>
      <c r="I287" s="84">
        <f t="shared" si="8"/>
        <v>46.649739209710873</v>
      </c>
      <c r="J287" s="85">
        <f t="shared" si="9"/>
        <v>5.9301222911096261</v>
      </c>
    </row>
    <row r="288" spans="7:10" x14ac:dyDescent="0.2">
      <c r="G288" s="82">
        <v>283</v>
      </c>
      <c r="H288" s="83">
        <v>0.15986</v>
      </c>
      <c r="I288" s="84">
        <f t="shared" si="8"/>
        <v>53.16681547418105</v>
      </c>
      <c r="J288" s="85">
        <f t="shared" si="9"/>
        <v>-0.58695397336055066</v>
      </c>
    </row>
    <row r="289" spans="7:10" x14ac:dyDescent="0.2">
      <c r="G289" s="82">
        <v>284</v>
      </c>
      <c r="H289" s="83">
        <v>-0.44824799999999998</v>
      </c>
      <c r="I289" s="84">
        <f t="shared" si="8"/>
        <v>46.732284619180383</v>
      </c>
      <c r="J289" s="85">
        <f t="shared" si="9"/>
        <v>5.8475768816401157</v>
      </c>
    </row>
    <row r="290" spans="7:10" x14ac:dyDescent="0.2">
      <c r="G290" s="82">
        <v>285</v>
      </c>
      <c r="H290" s="83">
        <v>-4.3013999999999997E-2</v>
      </c>
      <c r="I290" s="84">
        <f t="shared" si="8"/>
        <v>50.927260915952168</v>
      </c>
      <c r="J290" s="85">
        <f t="shared" si="9"/>
        <v>1.6526005848683312</v>
      </c>
    </row>
    <row r="291" spans="7:10" x14ac:dyDescent="0.2">
      <c r="G291" s="82">
        <v>286</v>
      </c>
      <c r="H291" s="83">
        <v>0.135077</v>
      </c>
      <c r="I291" s="84">
        <f t="shared" si="8"/>
        <v>52.888036714945365</v>
      </c>
      <c r="J291" s="85">
        <f t="shared" si="9"/>
        <v>-0.3081752141248657</v>
      </c>
    </row>
    <row r="292" spans="7:10" x14ac:dyDescent="0.2">
      <c r="G292" s="82">
        <v>287</v>
      </c>
      <c r="H292" s="83">
        <v>1.576392</v>
      </c>
      <c r="I292" s="84">
        <f t="shared" si="8"/>
        <v>71.802999240288628</v>
      </c>
      <c r="J292" s="85">
        <f t="shared" si="9"/>
        <v>-19.223137739468129</v>
      </c>
    </row>
    <row r="293" spans="7:10" x14ac:dyDescent="0.2">
      <c r="G293" s="82">
        <v>288</v>
      </c>
      <c r="H293" s="83">
        <v>-1.5044630000000001</v>
      </c>
      <c r="I293" s="84">
        <f t="shared" si="8"/>
        <v>37.351691882988057</v>
      </c>
      <c r="J293" s="85">
        <f t="shared" si="9"/>
        <v>15.228169617832442</v>
      </c>
    </row>
    <row r="294" spans="7:10" x14ac:dyDescent="0.2">
      <c r="G294" s="82">
        <v>289</v>
      </c>
      <c r="H294" s="83">
        <v>-0.21165700000000001</v>
      </c>
      <c r="I294" s="84">
        <f t="shared" si="8"/>
        <v>49.137563126224535</v>
      </c>
      <c r="J294" s="85">
        <f t="shared" si="9"/>
        <v>3.4422983745959641</v>
      </c>
    </row>
    <row r="295" spans="7:10" x14ac:dyDescent="0.2">
      <c r="G295" s="82">
        <v>290</v>
      </c>
      <c r="H295" s="83">
        <v>0.19359399999999999</v>
      </c>
      <c r="I295" s="84">
        <f t="shared" si="8"/>
        <v>53.548645073273285</v>
      </c>
      <c r="J295" s="85">
        <f t="shared" si="9"/>
        <v>-0.96878357245278579</v>
      </c>
    </row>
    <row r="296" spans="7:10" x14ac:dyDescent="0.2">
      <c r="G296" s="82">
        <v>291</v>
      </c>
      <c r="H296" s="83">
        <v>-0.13527400000000001</v>
      </c>
      <c r="I296" s="84">
        <f t="shared" si="8"/>
        <v>49.940238302315407</v>
      </c>
      <c r="J296" s="85">
        <f t="shared" si="9"/>
        <v>2.6396231985050918</v>
      </c>
    </row>
    <row r="297" spans="7:10" x14ac:dyDescent="0.2">
      <c r="G297" s="82">
        <v>292</v>
      </c>
      <c r="H297" s="83">
        <v>-0.32392100000000001</v>
      </c>
      <c r="I297" s="84">
        <f t="shared" si="8"/>
        <v>47.981186431289252</v>
      </c>
      <c r="J297" s="85">
        <f t="shared" si="9"/>
        <v>4.5986750695312466</v>
      </c>
    </row>
    <row r="298" spans="7:10" x14ac:dyDescent="0.2">
      <c r="G298" s="82">
        <v>293</v>
      </c>
      <c r="H298" s="83">
        <v>0.47526499999999999</v>
      </c>
      <c r="I298" s="84">
        <f t="shared" si="8"/>
        <v>56.845777142133159</v>
      </c>
      <c r="J298" s="85">
        <f t="shared" si="9"/>
        <v>-4.2659156413126595</v>
      </c>
    </row>
    <row r="299" spans="7:10" x14ac:dyDescent="0.2">
      <c r="G299" s="82">
        <v>294</v>
      </c>
      <c r="H299" s="83">
        <v>0.60855099999999995</v>
      </c>
      <c r="I299" s="84">
        <f t="shared" si="8"/>
        <v>58.475985580880533</v>
      </c>
      <c r="J299" s="85">
        <f t="shared" si="9"/>
        <v>-5.8961240800600336</v>
      </c>
    </row>
    <row r="300" spans="7:10" x14ac:dyDescent="0.2">
      <c r="G300" s="82">
        <v>295</v>
      </c>
      <c r="H300" s="83">
        <v>-2.9039999999999999E-3</v>
      </c>
      <c r="I300" s="84">
        <f t="shared" si="8"/>
        <v>51.362430136304958</v>
      </c>
      <c r="J300" s="85">
        <f t="shared" si="9"/>
        <v>1.2174313645155408</v>
      </c>
    </row>
    <row r="301" spans="7:10" x14ac:dyDescent="0.2">
      <c r="G301" s="82">
        <v>296</v>
      </c>
      <c r="H301" s="83">
        <v>0.27077299999999999</v>
      </c>
      <c r="I301" s="84">
        <f t="shared" si="8"/>
        <v>54.432566996785695</v>
      </c>
      <c r="J301" s="85">
        <f t="shared" si="9"/>
        <v>-1.8527054959651963</v>
      </c>
    </row>
    <row r="302" spans="7:10" x14ac:dyDescent="0.2">
      <c r="G302" s="82">
        <v>297</v>
      </c>
      <c r="H302" s="83">
        <v>8.1155000000000005E-2</v>
      </c>
      <c r="I302" s="84">
        <f t="shared" si="8"/>
        <v>52.28651930003597</v>
      </c>
      <c r="J302" s="85">
        <f t="shared" si="9"/>
        <v>0.29334220078452944</v>
      </c>
    </row>
    <row r="303" spans="7:10" x14ac:dyDescent="0.2">
      <c r="G303" s="82">
        <v>298</v>
      </c>
      <c r="H303" s="83">
        <v>1.2344029999999999</v>
      </c>
      <c r="I303" s="84">
        <f t="shared" si="8"/>
        <v>66.778383310344552</v>
      </c>
      <c r="J303" s="85">
        <f t="shared" si="9"/>
        <v>-14.198521809524053</v>
      </c>
    </row>
    <row r="304" spans="7:10" x14ac:dyDescent="0.2">
      <c r="G304" s="82">
        <v>299</v>
      </c>
      <c r="H304" s="83">
        <v>0.82927799999999996</v>
      </c>
      <c r="I304" s="84">
        <f t="shared" si="8"/>
        <v>61.279136520784448</v>
      </c>
      <c r="J304" s="85">
        <f t="shared" si="9"/>
        <v>-8.6992750199639488</v>
      </c>
    </row>
    <row r="305" spans="7:10" x14ac:dyDescent="0.2">
      <c r="G305" s="82">
        <v>300</v>
      </c>
      <c r="H305" s="83">
        <v>1.974286</v>
      </c>
      <c r="I305" s="84">
        <f t="shared" si="8"/>
        <v>78.126734624888059</v>
      </c>
      <c r="J305" s="85">
        <f t="shared" si="9"/>
        <v>-25.54687312406756</v>
      </c>
    </row>
    <row r="306" spans="7:10" x14ac:dyDescent="0.2">
      <c r="G306" s="82">
        <v>301</v>
      </c>
      <c r="H306" s="83">
        <v>-0.912462</v>
      </c>
      <c r="I306" s="84">
        <f t="shared" si="8"/>
        <v>42.349668146597324</v>
      </c>
      <c r="J306" s="85">
        <f t="shared" si="9"/>
        <v>10.230193354223175</v>
      </c>
    </row>
    <row r="307" spans="7:10" x14ac:dyDescent="0.2">
      <c r="G307" s="82">
        <v>302</v>
      </c>
      <c r="H307" s="83">
        <v>0.297205</v>
      </c>
      <c r="I307" s="84">
        <f t="shared" si="8"/>
        <v>54.738631686050191</v>
      </c>
      <c r="J307" s="85">
        <f t="shared" si="9"/>
        <v>-2.1587701852296917</v>
      </c>
    </row>
    <row r="308" spans="7:10" x14ac:dyDescent="0.2">
      <c r="G308" s="82">
        <v>303</v>
      </c>
      <c r="H308" s="83">
        <v>-0.23034399999999999</v>
      </c>
      <c r="I308" s="84">
        <f t="shared" si="8"/>
        <v>48.943161924277753</v>
      </c>
      <c r="J308" s="85">
        <f t="shared" si="9"/>
        <v>3.6366995765427461</v>
      </c>
    </row>
    <row r="309" spans="7:10" x14ac:dyDescent="0.2">
      <c r="G309" s="82">
        <v>304</v>
      </c>
      <c r="H309" s="83">
        <v>-1.25556</v>
      </c>
      <c r="I309" s="84">
        <f t="shared" si="8"/>
        <v>39.376866861293237</v>
      </c>
      <c r="J309" s="85">
        <f t="shared" si="9"/>
        <v>13.202994639527262</v>
      </c>
    </row>
    <row r="310" spans="7:10" x14ac:dyDescent="0.2">
      <c r="G310" s="82">
        <v>305</v>
      </c>
      <c r="H310" s="83">
        <v>0.75133499999999998</v>
      </c>
      <c r="I310" s="84">
        <f t="shared" si="8"/>
        <v>60.274264854041412</v>
      </c>
      <c r="J310" s="85">
        <f t="shared" si="9"/>
        <v>-7.6944033532209133</v>
      </c>
    </row>
    <row r="311" spans="7:10" x14ac:dyDescent="0.2">
      <c r="G311" s="82">
        <v>306</v>
      </c>
      <c r="H311" s="83">
        <v>-0.78258399999999995</v>
      </c>
      <c r="I311" s="84">
        <f t="shared" si="8"/>
        <v>43.532677781970001</v>
      </c>
      <c r="J311" s="85">
        <f t="shared" si="9"/>
        <v>9.0471837188504978</v>
      </c>
    </row>
    <row r="312" spans="7:10" x14ac:dyDescent="0.2">
      <c r="G312" s="82">
        <v>307</v>
      </c>
      <c r="H312" s="83">
        <v>-0.12035</v>
      </c>
      <c r="I312" s="84">
        <f t="shared" si="8"/>
        <v>50.098592560599272</v>
      </c>
      <c r="J312" s="85">
        <f t="shared" si="9"/>
        <v>2.4812689402212271</v>
      </c>
    </row>
    <row r="313" spans="7:10" x14ac:dyDescent="0.2">
      <c r="G313" s="82">
        <v>308</v>
      </c>
      <c r="H313" s="83">
        <v>1.159675</v>
      </c>
      <c r="I313" s="84">
        <f t="shared" si="8"/>
        <v>65.728145131778064</v>
      </c>
      <c r="J313" s="85">
        <f t="shared" si="9"/>
        <v>-13.148283630957565</v>
      </c>
    </row>
    <row r="314" spans="7:10" x14ac:dyDescent="0.2">
      <c r="G314" s="82">
        <v>309</v>
      </c>
      <c r="H314" s="83">
        <v>0.108282</v>
      </c>
      <c r="I314" s="84">
        <f t="shared" si="8"/>
        <v>52.588269752832026</v>
      </c>
      <c r="J314" s="85">
        <f t="shared" si="9"/>
        <v>-8.4082520115273951E-3</v>
      </c>
    </row>
    <row r="315" spans="7:10" x14ac:dyDescent="0.2">
      <c r="G315" s="82">
        <v>310</v>
      </c>
      <c r="H315" s="83">
        <v>-0.40213399999999999</v>
      </c>
      <c r="I315" s="84">
        <f t="shared" si="8"/>
        <v>47.191675094753919</v>
      </c>
      <c r="J315" s="85">
        <f t="shared" si="9"/>
        <v>5.3881864060665805</v>
      </c>
    </row>
    <row r="316" spans="7:10" x14ac:dyDescent="0.2">
      <c r="G316" s="82">
        <v>311</v>
      </c>
      <c r="H316" s="83">
        <v>2.9229000000000002E-2</v>
      </c>
      <c r="I316" s="84">
        <f t="shared" si="8"/>
        <v>51.713734954380854</v>
      </c>
      <c r="J316" s="85">
        <f t="shared" si="9"/>
        <v>0.86612654643964504</v>
      </c>
    </row>
    <row r="317" spans="7:10" x14ac:dyDescent="0.2">
      <c r="G317" s="82">
        <v>312</v>
      </c>
      <c r="H317" s="83">
        <v>-0.70663299999999996</v>
      </c>
      <c r="I317" s="84">
        <f t="shared" si="8"/>
        <v>44.239741302092206</v>
      </c>
      <c r="J317" s="85">
        <f t="shared" si="9"/>
        <v>8.3401201987282931</v>
      </c>
    </row>
    <row r="318" spans="7:10" x14ac:dyDescent="0.2">
      <c r="G318" s="82">
        <v>313</v>
      </c>
      <c r="H318" s="83">
        <v>0.23130600000000001</v>
      </c>
      <c r="I318" s="84">
        <f t="shared" si="8"/>
        <v>53.97874822787022</v>
      </c>
      <c r="J318" s="85">
        <f t="shared" si="9"/>
        <v>-1.3988867270497209</v>
      </c>
    </row>
    <row r="319" spans="7:10" x14ac:dyDescent="0.2">
      <c r="G319" s="82">
        <v>314</v>
      </c>
      <c r="H319" s="83">
        <v>-0.36136699999999999</v>
      </c>
      <c r="I319" s="84">
        <f t="shared" si="8"/>
        <v>47.601557846478961</v>
      </c>
      <c r="J319" s="85">
        <f t="shared" si="9"/>
        <v>4.9783036543415378</v>
      </c>
    </row>
    <row r="320" spans="7:10" x14ac:dyDescent="0.2">
      <c r="G320" s="82">
        <v>315</v>
      </c>
      <c r="H320" s="83">
        <v>-1.4008510000000001</v>
      </c>
      <c r="I320" s="84">
        <f t="shared" si="8"/>
        <v>38.181749244207381</v>
      </c>
      <c r="J320" s="85">
        <f t="shared" si="9"/>
        <v>14.398112256613119</v>
      </c>
    </row>
    <row r="321" spans="7:10" x14ac:dyDescent="0.2">
      <c r="G321" s="82">
        <v>316</v>
      </c>
      <c r="H321" s="83">
        <v>-0.20907500000000001</v>
      </c>
      <c r="I321" s="84">
        <f t="shared" si="8"/>
        <v>49.164484365742226</v>
      </c>
      <c r="J321" s="85">
        <f t="shared" si="9"/>
        <v>3.4153771350782733</v>
      </c>
    </row>
    <row r="322" spans="7:10" x14ac:dyDescent="0.2">
      <c r="G322" s="82">
        <v>317</v>
      </c>
      <c r="H322" s="83">
        <v>-2.074999</v>
      </c>
      <c r="I322" s="84">
        <f t="shared" si="8"/>
        <v>33.093908965212954</v>
      </c>
      <c r="J322" s="85">
        <f t="shared" si="9"/>
        <v>19.485952535607545</v>
      </c>
    </row>
    <row r="323" spans="7:10" x14ac:dyDescent="0.2">
      <c r="G323" s="82">
        <v>318</v>
      </c>
      <c r="H323" s="83">
        <v>-0.31539400000000001</v>
      </c>
      <c r="I323" s="84">
        <f t="shared" si="8"/>
        <v>48.068055736581258</v>
      </c>
      <c r="J323" s="85">
        <f t="shared" si="9"/>
        <v>4.5118057642392415</v>
      </c>
    </row>
    <row r="324" spans="7:10" x14ac:dyDescent="0.2">
      <c r="G324" s="82">
        <v>319</v>
      </c>
      <c r="H324" s="83">
        <v>1.4219459999999999</v>
      </c>
      <c r="I324" s="84">
        <f t="shared" si="8"/>
        <v>69.488641193750354</v>
      </c>
      <c r="J324" s="85">
        <f t="shared" si="9"/>
        <v>-16.908779692929855</v>
      </c>
    </row>
    <row r="325" spans="7:10" x14ac:dyDescent="0.2">
      <c r="G325" s="82">
        <v>320</v>
      </c>
      <c r="H325" s="83">
        <v>0.37634800000000002</v>
      </c>
      <c r="I325" s="84">
        <f t="shared" si="8"/>
        <v>55.665383483811326</v>
      </c>
      <c r="J325" s="85">
        <f t="shared" si="9"/>
        <v>-3.0855219829908265</v>
      </c>
    </row>
    <row r="326" spans="7:10" x14ac:dyDescent="0.2">
      <c r="G326" s="82">
        <v>321</v>
      </c>
      <c r="H326" s="83">
        <v>9.8093E-2</v>
      </c>
      <c r="I326" s="84">
        <f t="shared" ref="I326:I389" si="10">$C$8*EXP(($C$11-$C$12^2/2)*$C$14+H326*$C$12*SQRT($C$14))</f>
        <v>52.474727517318534</v>
      </c>
      <c r="J326" s="85">
        <f t="shared" ref="J326:J389" si="11">($C$9*EXP(-$C$10*($C$13-$C$14))-I326)*$C$15/1000000</f>
        <v>0.10513398350196468</v>
      </c>
    </row>
    <row r="327" spans="7:10" x14ac:dyDescent="0.2">
      <c r="G327" s="82">
        <v>322</v>
      </c>
      <c r="H327" s="83">
        <v>0.16470599999999999</v>
      </c>
      <c r="I327" s="84">
        <f t="shared" si="10"/>
        <v>53.221498628669607</v>
      </c>
      <c r="J327" s="85">
        <f t="shared" si="11"/>
        <v>-0.64163712784910842</v>
      </c>
    </row>
    <row r="328" spans="7:10" x14ac:dyDescent="0.2">
      <c r="G328" s="82">
        <v>323</v>
      </c>
      <c r="H328" s="83">
        <v>-0.24079900000000001</v>
      </c>
      <c r="I328" s="84">
        <f t="shared" si="10"/>
        <v>48.83473408378736</v>
      </c>
      <c r="J328" s="85">
        <f t="shared" si="11"/>
        <v>3.7451274170331388</v>
      </c>
    </row>
    <row r="329" spans="7:10" x14ac:dyDescent="0.2">
      <c r="G329" s="82">
        <v>324</v>
      </c>
      <c r="H329" s="83">
        <v>-0.14940899999999999</v>
      </c>
      <c r="I329" s="84">
        <f t="shared" si="10"/>
        <v>49.790717461790273</v>
      </c>
      <c r="J329" s="85">
        <f t="shared" si="11"/>
        <v>2.7891440390302265</v>
      </c>
    </row>
    <row r="330" spans="7:10" x14ac:dyDescent="0.2">
      <c r="G330" s="82">
        <v>325</v>
      </c>
      <c r="H330" s="83">
        <v>2.919775</v>
      </c>
      <c r="I330" s="84">
        <f t="shared" si="10"/>
        <v>95.478473723266561</v>
      </c>
      <c r="J330" s="85">
        <f t="shared" si="11"/>
        <v>-42.898612222446062</v>
      </c>
    </row>
    <row r="331" spans="7:10" x14ac:dyDescent="0.2">
      <c r="G331" s="82">
        <v>326</v>
      </c>
      <c r="H331" s="83">
        <v>-1.081207</v>
      </c>
      <c r="I331" s="84">
        <f t="shared" si="10"/>
        <v>40.860522013074075</v>
      </c>
      <c r="J331" s="85">
        <f t="shared" si="11"/>
        <v>11.719339487746424</v>
      </c>
    </row>
    <row r="332" spans="7:10" x14ac:dyDescent="0.2">
      <c r="G332" s="82">
        <v>327</v>
      </c>
      <c r="H332" s="83">
        <v>-0.61475100000000005</v>
      </c>
      <c r="I332" s="84">
        <f t="shared" si="10"/>
        <v>45.110481495679295</v>
      </c>
      <c r="J332" s="85">
        <f t="shared" si="11"/>
        <v>7.469380005141204</v>
      </c>
    </row>
    <row r="333" spans="7:10" x14ac:dyDescent="0.2">
      <c r="G333" s="82">
        <v>328</v>
      </c>
      <c r="H333" s="83">
        <v>-0.86547499999999999</v>
      </c>
      <c r="I333" s="84">
        <f t="shared" si="10"/>
        <v>42.773896984521556</v>
      </c>
      <c r="J333" s="85">
        <f t="shared" si="11"/>
        <v>9.8059645162989426</v>
      </c>
    </row>
    <row r="334" spans="7:10" x14ac:dyDescent="0.2">
      <c r="G334" s="82">
        <v>329</v>
      </c>
      <c r="H334" s="83">
        <v>-0.13627</v>
      </c>
      <c r="I334" s="84">
        <f t="shared" si="10"/>
        <v>49.929687868271103</v>
      </c>
      <c r="J334" s="85">
        <f t="shared" si="11"/>
        <v>2.6501736325493965</v>
      </c>
    </row>
    <row r="335" spans="7:10" x14ac:dyDescent="0.2">
      <c r="G335" s="82">
        <v>330</v>
      </c>
      <c r="H335" s="83">
        <v>1.2045440000000001</v>
      </c>
      <c r="I335" s="84">
        <f t="shared" si="10"/>
        <v>66.356742420919474</v>
      </c>
      <c r="J335" s="85">
        <f t="shared" si="11"/>
        <v>-13.776880920098975</v>
      </c>
    </row>
    <row r="336" spans="7:10" x14ac:dyDescent="0.2">
      <c r="G336" s="82">
        <v>331</v>
      </c>
      <c r="H336" s="83">
        <v>-0.11339299999999999</v>
      </c>
      <c r="I336" s="84">
        <f t="shared" si="10"/>
        <v>50.172582775949174</v>
      </c>
      <c r="J336" s="85">
        <f t="shared" si="11"/>
        <v>2.4072787248713254</v>
      </c>
    </row>
    <row r="337" spans="7:10" x14ac:dyDescent="0.2">
      <c r="G337" s="82">
        <v>332</v>
      </c>
      <c r="H337" s="83">
        <v>0.45005099999999998</v>
      </c>
      <c r="I337" s="84">
        <f t="shared" si="10"/>
        <v>56.542537988105664</v>
      </c>
      <c r="J337" s="85">
        <f t="shared" si="11"/>
        <v>-3.9626764872851652</v>
      </c>
    </row>
    <row r="338" spans="7:10" x14ac:dyDescent="0.2">
      <c r="G338" s="82">
        <v>333</v>
      </c>
      <c r="H338" s="83">
        <v>1.0626500000000001</v>
      </c>
      <c r="I338" s="84">
        <f t="shared" si="10"/>
        <v>64.389148137938548</v>
      </c>
      <c r="J338" s="85">
        <f t="shared" si="11"/>
        <v>-11.809286637118049</v>
      </c>
    </row>
    <row r="339" spans="7:10" x14ac:dyDescent="0.2">
      <c r="G339" s="82">
        <v>334</v>
      </c>
      <c r="H339" s="83">
        <v>1.782796</v>
      </c>
      <c r="I339" s="84">
        <f t="shared" si="10"/>
        <v>75.016729431561799</v>
      </c>
      <c r="J339" s="85">
        <f t="shared" si="11"/>
        <v>-22.4368679307413</v>
      </c>
    </row>
    <row r="340" spans="7:10" x14ac:dyDescent="0.2">
      <c r="G340" s="82">
        <v>335</v>
      </c>
      <c r="H340" s="83">
        <v>-0.16725799999999999</v>
      </c>
      <c r="I340" s="84">
        <f t="shared" si="10"/>
        <v>49.602549103490809</v>
      </c>
      <c r="J340" s="85">
        <f t="shared" si="11"/>
        <v>2.9773123973296904</v>
      </c>
    </row>
    <row r="341" spans="7:10" x14ac:dyDescent="0.2">
      <c r="G341" s="82">
        <v>336</v>
      </c>
      <c r="H341" s="83">
        <v>-0.67595000000000005</v>
      </c>
      <c r="I341" s="84">
        <f t="shared" si="10"/>
        <v>44.528630165681179</v>
      </c>
      <c r="J341" s="85">
        <f t="shared" si="11"/>
        <v>8.0512313351393203</v>
      </c>
    </row>
    <row r="342" spans="7:10" x14ac:dyDescent="0.2">
      <c r="G342" s="82">
        <v>337</v>
      </c>
      <c r="H342" s="83">
        <v>-0.43518699999999999</v>
      </c>
      <c r="I342" s="84">
        <f t="shared" si="10"/>
        <v>46.861943264193897</v>
      </c>
      <c r="J342" s="85">
        <f t="shared" si="11"/>
        <v>5.7179182366266019</v>
      </c>
    </row>
    <row r="343" spans="7:10" x14ac:dyDescent="0.2">
      <c r="G343" s="82">
        <v>338</v>
      </c>
      <c r="H343" s="83">
        <v>3.1629999999999998E-2</v>
      </c>
      <c r="I343" s="84">
        <f t="shared" si="10"/>
        <v>51.740080968865939</v>
      </c>
      <c r="J343" s="85">
        <f t="shared" si="11"/>
        <v>0.83978053195455971</v>
      </c>
    </row>
    <row r="344" spans="7:10" x14ac:dyDescent="0.2">
      <c r="G344" s="82">
        <v>339</v>
      </c>
      <c r="H344" s="83">
        <v>-1.2201E-2</v>
      </c>
      <c r="I344" s="84">
        <f t="shared" si="10"/>
        <v>51.26123340943272</v>
      </c>
      <c r="J344" s="85">
        <f t="shared" si="11"/>
        <v>1.3186280913877795</v>
      </c>
    </row>
    <row r="345" spans="7:10" x14ac:dyDescent="0.2">
      <c r="G345" s="82">
        <v>340</v>
      </c>
      <c r="H345" s="83">
        <v>0.86437900000000001</v>
      </c>
      <c r="I345" s="84">
        <f t="shared" si="10"/>
        <v>61.7371268155959</v>
      </c>
      <c r="J345" s="85">
        <f t="shared" si="11"/>
        <v>-9.1572653147754011</v>
      </c>
    </row>
    <row r="346" spans="7:10" x14ac:dyDescent="0.2">
      <c r="G346" s="82">
        <v>341</v>
      </c>
      <c r="H346" s="83">
        <v>0.64537699999999998</v>
      </c>
      <c r="I346" s="84">
        <f t="shared" si="10"/>
        <v>58.934587437948018</v>
      </c>
      <c r="J346" s="85">
        <f t="shared" si="11"/>
        <v>-6.3547259371275189</v>
      </c>
    </row>
    <row r="347" spans="7:10" x14ac:dyDescent="0.2">
      <c r="G347" s="82">
        <v>342</v>
      </c>
      <c r="H347" s="83">
        <v>0.18352399999999999</v>
      </c>
      <c r="I347" s="84">
        <f t="shared" si="10"/>
        <v>53.434378176485033</v>
      </c>
      <c r="J347" s="85">
        <f t="shared" si="11"/>
        <v>-0.85451667566453438</v>
      </c>
    </row>
    <row r="348" spans="7:10" x14ac:dyDescent="0.2">
      <c r="G348" s="82">
        <v>343</v>
      </c>
      <c r="H348" s="83">
        <v>-0.859128</v>
      </c>
      <c r="I348" s="84">
        <f t="shared" si="10"/>
        <v>42.831526633544868</v>
      </c>
      <c r="J348" s="85">
        <f t="shared" si="11"/>
        <v>9.7483348672756307</v>
      </c>
    </row>
    <row r="349" spans="7:10" x14ac:dyDescent="0.2">
      <c r="G349" s="82">
        <v>344</v>
      </c>
      <c r="H349" s="83">
        <v>-0.40417500000000001</v>
      </c>
      <c r="I349" s="84">
        <f t="shared" si="10"/>
        <v>47.171247339695796</v>
      </c>
      <c r="J349" s="85">
        <f t="shared" si="11"/>
        <v>5.4086141611247029</v>
      </c>
    </row>
    <row r="350" spans="7:10" x14ac:dyDescent="0.2">
      <c r="G350" s="82">
        <v>345</v>
      </c>
      <c r="H350" s="83">
        <v>-0.65950799999999998</v>
      </c>
      <c r="I350" s="84">
        <f t="shared" si="10"/>
        <v>44.684211624171368</v>
      </c>
      <c r="J350" s="85">
        <f t="shared" si="11"/>
        <v>7.8956498766491308</v>
      </c>
    </row>
    <row r="351" spans="7:10" x14ac:dyDescent="0.2">
      <c r="G351" s="82">
        <v>346</v>
      </c>
      <c r="H351" s="83">
        <v>-0.51234500000000005</v>
      </c>
      <c r="I351" s="84">
        <f t="shared" si="10"/>
        <v>46.10116488258366</v>
      </c>
      <c r="J351" s="85">
        <f t="shared" si="11"/>
        <v>6.4786966182368388</v>
      </c>
    </row>
    <row r="352" spans="7:10" x14ac:dyDescent="0.2">
      <c r="G352" s="82">
        <v>347</v>
      </c>
      <c r="H352" s="83">
        <v>-0.44143100000000002</v>
      </c>
      <c r="I352" s="84">
        <f t="shared" si="10"/>
        <v>46.799913253788638</v>
      </c>
      <c r="J352" s="85">
        <f t="shared" si="11"/>
        <v>5.7799482470318608</v>
      </c>
    </row>
    <row r="353" spans="7:10" x14ac:dyDescent="0.2">
      <c r="G353" s="82">
        <v>348</v>
      </c>
      <c r="H353" s="83">
        <v>2.9031999999999999E-2</v>
      </c>
      <c r="I353" s="84">
        <f t="shared" si="10"/>
        <v>51.711573881996173</v>
      </c>
      <c r="J353" s="85">
        <f t="shared" si="11"/>
        <v>0.86828761882432559</v>
      </c>
    </row>
    <row r="354" spans="7:10" x14ac:dyDescent="0.2">
      <c r="G354" s="82">
        <v>349</v>
      </c>
      <c r="H354" s="83">
        <v>0.32453300000000002</v>
      </c>
      <c r="I354" s="84">
        <f t="shared" si="10"/>
        <v>55.056881006480673</v>
      </c>
      <c r="J354" s="85">
        <f t="shared" si="11"/>
        <v>-2.4770195056601736</v>
      </c>
    </row>
    <row r="355" spans="7:10" x14ac:dyDescent="0.2">
      <c r="G355" s="82">
        <v>350</v>
      </c>
      <c r="H355" s="83">
        <v>0.26760600000000001</v>
      </c>
      <c r="I355" s="84">
        <f t="shared" si="10"/>
        <v>54.396010273626395</v>
      </c>
      <c r="J355" s="85">
        <f t="shared" si="11"/>
        <v>-1.8161487728058958</v>
      </c>
    </row>
    <row r="356" spans="7:10" x14ac:dyDescent="0.2">
      <c r="G356" s="82">
        <v>351</v>
      </c>
      <c r="H356" s="83">
        <v>0.945272</v>
      </c>
      <c r="I356" s="84">
        <f t="shared" si="10"/>
        <v>62.805677648796035</v>
      </c>
      <c r="J356" s="85">
        <f t="shared" si="11"/>
        <v>-10.225816147975536</v>
      </c>
    </row>
    <row r="357" spans="7:10" x14ac:dyDescent="0.2">
      <c r="G357" s="82">
        <v>352</v>
      </c>
      <c r="H357" s="83">
        <v>0.60885900000000004</v>
      </c>
      <c r="I357" s="84">
        <f t="shared" si="10"/>
        <v>58.479806331669657</v>
      </c>
      <c r="J357" s="85">
        <f t="shared" si="11"/>
        <v>-5.899944830849158</v>
      </c>
    </row>
    <row r="358" spans="7:10" x14ac:dyDescent="0.2">
      <c r="G358" s="82">
        <v>353</v>
      </c>
      <c r="H358" s="83">
        <v>0.183114</v>
      </c>
      <c r="I358" s="84">
        <f t="shared" si="10"/>
        <v>53.429730969809029</v>
      </c>
      <c r="J358" s="85">
        <f t="shared" si="11"/>
        <v>-0.84986946898852977</v>
      </c>
    </row>
    <row r="359" spans="7:10" x14ac:dyDescent="0.2">
      <c r="G359" s="82">
        <v>354</v>
      </c>
      <c r="H359" s="83">
        <v>3.9101999999999998E-2</v>
      </c>
      <c r="I359" s="84">
        <f t="shared" si="10"/>
        <v>51.822156643079623</v>
      </c>
      <c r="J359" s="85">
        <f t="shared" si="11"/>
        <v>0.75770485774087604</v>
      </c>
    </row>
    <row r="360" spans="7:10" x14ac:dyDescent="0.2">
      <c r="G360" s="82">
        <v>355</v>
      </c>
      <c r="H360" s="83">
        <v>2.5338370000000001</v>
      </c>
      <c r="I360" s="84">
        <f t="shared" si="10"/>
        <v>87.97309270128963</v>
      </c>
      <c r="J360" s="85">
        <f t="shared" si="11"/>
        <v>-35.393231200469131</v>
      </c>
    </row>
    <row r="361" spans="7:10" x14ac:dyDescent="0.2">
      <c r="G361" s="82">
        <v>356</v>
      </c>
      <c r="H361" s="83">
        <v>-1.5110840000000001</v>
      </c>
      <c r="I361" s="84">
        <f t="shared" si="10"/>
        <v>37.299267277627841</v>
      </c>
      <c r="J361" s="85">
        <f t="shared" si="11"/>
        <v>15.280594223192658</v>
      </c>
    </row>
    <row r="362" spans="7:10" x14ac:dyDescent="0.2">
      <c r="G362" s="82">
        <v>357</v>
      </c>
      <c r="H362" s="83">
        <v>-0.48724699999999999</v>
      </c>
      <c r="I362" s="84">
        <f t="shared" si="10"/>
        <v>46.347266175584302</v>
      </c>
      <c r="J362" s="85">
        <f t="shared" si="11"/>
        <v>6.232595325236197</v>
      </c>
    </row>
    <row r="363" spans="7:10" x14ac:dyDescent="0.2">
      <c r="G363" s="82">
        <v>358</v>
      </c>
      <c r="H363" s="83">
        <v>1.0029870000000001</v>
      </c>
      <c r="I363" s="84">
        <f t="shared" si="10"/>
        <v>63.579346571865557</v>
      </c>
      <c r="J363" s="85">
        <f t="shared" si="11"/>
        <v>-10.999485071045058</v>
      </c>
    </row>
    <row r="364" spans="7:10" x14ac:dyDescent="0.2">
      <c r="G364" s="82">
        <v>359</v>
      </c>
      <c r="H364" s="83">
        <v>-5.9908000000000003E-2</v>
      </c>
      <c r="I364" s="84">
        <f t="shared" si="10"/>
        <v>50.745076554632931</v>
      </c>
      <c r="J364" s="85">
        <f t="shared" si="11"/>
        <v>1.8347849461875683</v>
      </c>
    </row>
    <row r="365" spans="7:10" x14ac:dyDescent="0.2">
      <c r="G365" s="82">
        <v>360</v>
      </c>
      <c r="H365" s="83">
        <v>-1.7255240000000001</v>
      </c>
      <c r="I365" s="84">
        <f t="shared" si="10"/>
        <v>35.640551938696454</v>
      </c>
      <c r="J365" s="85">
        <f t="shared" si="11"/>
        <v>16.939309562124045</v>
      </c>
    </row>
    <row r="366" spans="7:10" x14ac:dyDescent="0.2">
      <c r="G366" s="82">
        <v>361</v>
      </c>
      <c r="H366" s="83">
        <v>0.78366599999999997</v>
      </c>
      <c r="I366" s="84">
        <f t="shared" si="10"/>
        <v>60.689073174643092</v>
      </c>
      <c r="J366" s="85">
        <f t="shared" si="11"/>
        <v>-8.1092116738225926</v>
      </c>
    </row>
    <row r="367" spans="7:10" x14ac:dyDescent="0.2">
      <c r="G367" s="82">
        <v>362</v>
      </c>
      <c r="H367" s="83">
        <v>-0.64692899999999998</v>
      </c>
      <c r="I367" s="84">
        <f t="shared" si="10"/>
        <v>44.803606596835152</v>
      </c>
      <c r="J367" s="85">
        <f t="shared" si="11"/>
        <v>7.7762549039853468</v>
      </c>
    </row>
    <row r="368" spans="7:10" x14ac:dyDescent="0.2">
      <c r="G368" s="82">
        <v>363</v>
      </c>
      <c r="H368" s="83">
        <v>0.71807399999999999</v>
      </c>
      <c r="I368" s="84">
        <f t="shared" si="10"/>
        <v>59.850483102907738</v>
      </c>
      <c r="J368" s="85">
        <f t="shared" si="11"/>
        <v>-7.270621602087239</v>
      </c>
    </row>
    <row r="369" spans="7:10" x14ac:dyDescent="0.2">
      <c r="G369" s="82">
        <v>364</v>
      </c>
      <c r="H369" s="83">
        <v>2.8621210000000001</v>
      </c>
      <c r="I369" s="84">
        <f t="shared" si="10"/>
        <v>94.317858913326575</v>
      </c>
      <c r="J369" s="85">
        <f t="shared" si="11"/>
        <v>-41.737997412506076</v>
      </c>
    </row>
    <row r="370" spans="7:10" x14ac:dyDescent="0.2">
      <c r="G370" s="82">
        <v>365</v>
      </c>
      <c r="H370" s="83">
        <v>0.95228299999999999</v>
      </c>
      <c r="I370" s="84">
        <f t="shared" si="10"/>
        <v>62.899155371535677</v>
      </c>
      <c r="J370" s="85">
        <f t="shared" si="11"/>
        <v>-10.319293870715178</v>
      </c>
    </row>
    <row r="371" spans="7:10" x14ac:dyDescent="0.2">
      <c r="G371" s="82">
        <v>366</v>
      </c>
      <c r="H371" s="83">
        <v>-0.49502099999999999</v>
      </c>
      <c r="I371" s="84">
        <f t="shared" si="10"/>
        <v>46.270897217790456</v>
      </c>
      <c r="J371" s="85">
        <f t="shared" si="11"/>
        <v>6.3089642830300434</v>
      </c>
    </row>
    <row r="372" spans="7:10" x14ac:dyDescent="0.2">
      <c r="G372" s="82">
        <v>367</v>
      </c>
      <c r="H372" s="83">
        <v>1.6562680000000001</v>
      </c>
      <c r="I372" s="84">
        <f t="shared" si="10"/>
        <v>73.030013881164834</v>
      </c>
      <c r="J372" s="85">
        <f t="shared" si="11"/>
        <v>-20.450152380344335</v>
      </c>
    </row>
    <row r="373" spans="7:10" x14ac:dyDescent="0.2">
      <c r="G373" s="82">
        <v>368</v>
      </c>
      <c r="H373" s="83">
        <v>0.32250200000000001</v>
      </c>
      <c r="I373" s="84">
        <f t="shared" si="10"/>
        <v>55.033165400145592</v>
      </c>
      <c r="J373" s="85">
        <f t="shared" si="11"/>
        <v>-2.4533038993250926</v>
      </c>
    </row>
    <row r="374" spans="7:10" x14ac:dyDescent="0.2">
      <c r="G374" s="82">
        <v>369</v>
      </c>
      <c r="H374" s="83">
        <v>0.75111600000000001</v>
      </c>
      <c r="I374" s="84">
        <f t="shared" si="10"/>
        <v>60.271464762653125</v>
      </c>
      <c r="J374" s="85">
        <f t="shared" si="11"/>
        <v>-7.6916032618326255</v>
      </c>
    </row>
    <row r="375" spans="7:10" x14ac:dyDescent="0.2">
      <c r="G375" s="82">
        <v>370</v>
      </c>
      <c r="H375" s="83">
        <v>-0.69721599999999995</v>
      </c>
      <c r="I375" s="84">
        <f t="shared" si="10"/>
        <v>44.328205035097646</v>
      </c>
      <c r="J375" s="85">
        <f t="shared" si="11"/>
        <v>8.2516564657228528</v>
      </c>
    </row>
    <row r="376" spans="7:10" x14ac:dyDescent="0.2">
      <c r="G376" s="82">
        <v>371</v>
      </c>
      <c r="H376" s="83">
        <v>0.35238700000000001</v>
      </c>
      <c r="I376" s="84">
        <f t="shared" si="10"/>
        <v>55.383160010701225</v>
      </c>
      <c r="J376" s="85">
        <f t="shared" si="11"/>
        <v>-2.8032985098807259</v>
      </c>
    </row>
    <row r="377" spans="7:10" x14ac:dyDescent="0.2">
      <c r="G377" s="82">
        <v>372</v>
      </c>
      <c r="H377" s="83">
        <v>-0.81893899999999997</v>
      </c>
      <c r="I377" s="84">
        <f t="shared" si="10"/>
        <v>43.198242404643473</v>
      </c>
      <c r="J377" s="85">
        <f t="shared" si="11"/>
        <v>9.3816190961770261</v>
      </c>
    </row>
    <row r="378" spans="7:10" x14ac:dyDescent="0.2">
      <c r="G378" s="82">
        <v>373</v>
      </c>
      <c r="H378" s="83">
        <v>0.65852699999999997</v>
      </c>
      <c r="I378" s="84">
        <f t="shared" si="10"/>
        <v>59.099217119566774</v>
      </c>
      <c r="J378" s="85">
        <f t="shared" si="11"/>
        <v>-6.5193556187462747</v>
      </c>
    </row>
    <row r="379" spans="7:10" x14ac:dyDescent="0.2">
      <c r="G379" s="82">
        <v>374</v>
      </c>
      <c r="H379" s="83">
        <v>1.374763</v>
      </c>
      <c r="I379" s="84">
        <f t="shared" si="10"/>
        <v>68.796596715784347</v>
      </c>
      <c r="J379" s="85">
        <f t="shared" si="11"/>
        <v>-16.216735214963848</v>
      </c>
    </row>
    <row r="380" spans="7:10" x14ac:dyDescent="0.2">
      <c r="G380" s="82">
        <v>375</v>
      </c>
      <c r="H380" s="83">
        <v>1.702474</v>
      </c>
      <c r="I380" s="84">
        <f t="shared" si="10"/>
        <v>73.74935714369532</v>
      </c>
      <c r="J380" s="85">
        <f t="shared" si="11"/>
        <v>-21.169495642874821</v>
      </c>
    </row>
    <row r="381" spans="7:10" x14ac:dyDescent="0.2">
      <c r="G381" s="82">
        <v>376</v>
      </c>
      <c r="H381" s="83">
        <v>-1.7946880000000001</v>
      </c>
      <c r="I381" s="84">
        <f t="shared" si="10"/>
        <v>35.121454707094117</v>
      </c>
      <c r="J381" s="85">
        <f t="shared" si="11"/>
        <v>17.458406793726382</v>
      </c>
    </row>
    <row r="382" spans="7:10" x14ac:dyDescent="0.2">
      <c r="G382" s="82">
        <v>377</v>
      </c>
      <c r="H382" s="83">
        <v>0.908586</v>
      </c>
      <c r="I382" s="84">
        <f t="shared" si="10"/>
        <v>62.318803494470878</v>
      </c>
      <c r="J382" s="85">
        <f t="shared" si="11"/>
        <v>-9.7389419936503785</v>
      </c>
    </row>
    <row r="383" spans="7:10" x14ac:dyDescent="0.2">
      <c r="G383" s="82">
        <v>378</v>
      </c>
      <c r="H383" s="83">
        <v>-0.59092599999999995</v>
      </c>
      <c r="I383" s="84">
        <f t="shared" si="10"/>
        <v>45.339049040421784</v>
      </c>
      <c r="J383" s="85">
        <f t="shared" si="11"/>
        <v>7.2408124603987147</v>
      </c>
    </row>
    <row r="384" spans="7:10" x14ac:dyDescent="0.2">
      <c r="G384" s="82">
        <v>379</v>
      </c>
      <c r="H384" s="83">
        <v>-0.92783199999999999</v>
      </c>
      <c r="I384" s="84">
        <f t="shared" si="10"/>
        <v>42.2118132088831</v>
      </c>
      <c r="J384" s="85">
        <f t="shared" si="11"/>
        <v>10.368048291937399</v>
      </c>
    </row>
    <row r="385" spans="7:10" x14ac:dyDescent="0.2">
      <c r="G385" s="82">
        <v>380</v>
      </c>
      <c r="H385" s="83">
        <v>0.10428900000000001</v>
      </c>
      <c r="I385" s="84">
        <f t="shared" si="10"/>
        <v>52.543744076093176</v>
      </c>
      <c r="J385" s="85">
        <f t="shared" si="11"/>
        <v>3.61174247273226E-2</v>
      </c>
    </row>
    <row r="386" spans="7:10" x14ac:dyDescent="0.2">
      <c r="G386" s="82">
        <v>381</v>
      </c>
      <c r="H386" s="83">
        <v>-0.19658100000000001</v>
      </c>
      <c r="I386" s="84">
        <f t="shared" si="10"/>
        <v>49.29496164630693</v>
      </c>
      <c r="J386" s="85">
        <f t="shared" si="11"/>
        <v>3.2848998545135686</v>
      </c>
    </row>
    <row r="387" spans="7:10" x14ac:dyDescent="0.2">
      <c r="G387" s="82">
        <v>382</v>
      </c>
      <c r="H387" s="83">
        <v>-1.2871520000000001</v>
      </c>
      <c r="I387" s="84">
        <f t="shared" si="10"/>
        <v>39.113858171811266</v>
      </c>
      <c r="J387" s="85">
        <f t="shared" si="11"/>
        <v>13.466003329009233</v>
      </c>
    </row>
    <row r="388" spans="7:10" x14ac:dyDescent="0.2">
      <c r="G388" s="82">
        <v>383</v>
      </c>
      <c r="H388" s="83">
        <v>-0.13930999999999999</v>
      </c>
      <c r="I388" s="84">
        <f t="shared" si="10"/>
        <v>49.897499521982027</v>
      </c>
      <c r="J388" s="85">
        <f t="shared" si="11"/>
        <v>2.6823619788384718</v>
      </c>
    </row>
    <row r="389" spans="7:10" x14ac:dyDescent="0.2">
      <c r="G389" s="82">
        <v>384</v>
      </c>
      <c r="H389" s="83">
        <v>1.2159679999999999</v>
      </c>
      <c r="I389" s="84">
        <f t="shared" si="10"/>
        <v>66.517746118086805</v>
      </c>
      <c r="J389" s="85">
        <f t="shared" si="11"/>
        <v>-13.937884617266306</v>
      </c>
    </row>
    <row r="390" spans="7:10" x14ac:dyDescent="0.2">
      <c r="G390" s="82">
        <v>385</v>
      </c>
      <c r="H390" s="83">
        <v>0.246805</v>
      </c>
      <c r="I390" s="84">
        <f t="shared" ref="I390:I453" si="12">$C$8*EXP(($C$11-$C$12^2/2)*$C$14+H390*$C$12*SQRT($C$14))</f>
        <v>54.156513484416976</v>
      </c>
      <c r="J390" s="85">
        <f t="shared" ref="J390:J453" si="13">($C$9*EXP(-$C$10*($C$13-$C$14))-I390)*$C$15/1000000</f>
        <v>-1.5766519835964772</v>
      </c>
    </row>
    <row r="391" spans="7:10" x14ac:dyDescent="0.2">
      <c r="G391" s="82">
        <v>386</v>
      </c>
      <c r="H391" s="83">
        <v>0.85577400000000003</v>
      </c>
      <c r="I391" s="84">
        <f t="shared" si="12"/>
        <v>61.624534895339757</v>
      </c>
      <c r="J391" s="85">
        <f t="shared" si="13"/>
        <v>-9.0446733945192577</v>
      </c>
    </row>
    <row r="392" spans="7:10" x14ac:dyDescent="0.2">
      <c r="G392" s="82">
        <v>387</v>
      </c>
      <c r="H392" s="83">
        <v>-1.82199</v>
      </c>
      <c r="I392" s="84">
        <f t="shared" si="12"/>
        <v>34.918632181773255</v>
      </c>
      <c r="J392" s="85">
        <f t="shared" si="13"/>
        <v>17.661229319047241</v>
      </c>
    </row>
    <row r="393" spans="7:10" x14ac:dyDescent="0.2">
      <c r="G393" s="82">
        <v>388</v>
      </c>
      <c r="H393" s="83">
        <v>0.72902100000000003</v>
      </c>
      <c r="I393" s="84">
        <f t="shared" si="12"/>
        <v>59.989629957707301</v>
      </c>
      <c r="J393" s="85">
        <f t="shared" si="13"/>
        <v>-7.4097684568868019</v>
      </c>
    </row>
    <row r="394" spans="7:10" x14ac:dyDescent="0.2">
      <c r="G394" s="82">
        <v>389</v>
      </c>
      <c r="H394" s="83">
        <v>-0.53830199999999995</v>
      </c>
      <c r="I394" s="84">
        <f t="shared" si="12"/>
        <v>45.848015121627697</v>
      </c>
      <c r="J394" s="85">
        <f t="shared" si="13"/>
        <v>6.7318463791928025</v>
      </c>
    </row>
    <row r="395" spans="7:10" x14ac:dyDescent="0.2">
      <c r="G395" s="82">
        <v>390</v>
      </c>
      <c r="H395" s="83">
        <v>-0.98416999999999999</v>
      </c>
      <c r="I395" s="84">
        <f t="shared" si="12"/>
        <v>41.710338393233883</v>
      </c>
      <c r="J395" s="85">
        <f t="shared" si="13"/>
        <v>10.869523107586616</v>
      </c>
    </row>
    <row r="396" spans="7:10" x14ac:dyDescent="0.2">
      <c r="G396" s="82">
        <v>391</v>
      </c>
      <c r="H396" s="83">
        <v>-1.42963</v>
      </c>
      <c r="I396" s="84">
        <f t="shared" si="12"/>
        <v>37.949361736089102</v>
      </c>
      <c r="J396" s="85">
        <f t="shared" si="13"/>
        <v>14.630499764731397</v>
      </c>
    </row>
    <row r="397" spans="7:10" x14ac:dyDescent="0.2">
      <c r="G397" s="82">
        <v>392</v>
      </c>
      <c r="H397" s="83">
        <v>0.72348699999999999</v>
      </c>
      <c r="I397" s="84">
        <f t="shared" si="12"/>
        <v>59.919247131457567</v>
      </c>
      <c r="J397" s="85">
        <f t="shared" si="13"/>
        <v>-7.3393856306370679</v>
      </c>
    </row>
    <row r="398" spans="7:10" x14ac:dyDescent="0.2">
      <c r="G398" s="82">
        <v>393</v>
      </c>
      <c r="H398" s="83">
        <v>0.34160699999999999</v>
      </c>
      <c r="I398" s="84">
        <f t="shared" si="12"/>
        <v>55.256655423025748</v>
      </c>
      <c r="J398" s="85">
        <f t="shared" si="13"/>
        <v>-2.676793922205249</v>
      </c>
    </row>
    <row r="399" spans="7:10" x14ac:dyDescent="0.2">
      <c r="G399" s="82">
        <v>394</v>
      </c>
      <c r="H399" s="83">
        <v>0.19550899999999999</v>
      </c>
      <c r="I399" s="84">
        <f t="shared" si="12"/>
        <v>53.570402710783974</v>
      </c>
      <c r="J399" s="85">
        <f t="shared" si="13"/>
        <v>-0.9905412099634745</v>
      </c>
    </row>
    <row r="400" spans="7:10" x14ac:dyDescent="0.2">
      <c r="G400" s="82">
        <v>395</v>
      </c>
      <c r="H400" s="83">
        <v>1.077963</v>
      </c>
      <c r="I400" s="84">
        <f t="shared" si="12"/>
        <v>64.59864850397463</v>
      </c>
      <c r="J400" s="85">
        <f t="shared" si="13"/>
        <v>-12.018787003154131</v>
      </c>
    </row>
    <row r="401" spans="7:10" x14ac:dyDescent="0.2">
      <c r="G401" s="82">
        <v>396</v>
      </c>
      <c r="H401" s="83">
        <v>-0.18553900000000001</v>
      </c>
      <c r="I401" s="84">
        <f t="shared" si="12"/>
        <v>49.410563625462068</v>
      </c>
      <c r="J401" s="85">
        <f t="shared" si="13"/>
        <v>3.1692978753584313</v>
      </c>
    </row>
    <row r="402" spans="7:10" x14ac:dyDescent="0.2">
      <c r="G402" s="82">
        <v>397</v>
      </c>
      <c r="H402" s="83">
        <v>0.25933800000000001</v>
      </c>
      <c r="I402" s="84">
        <f t="shared" si="12"/>
        <v>54.300688311926159</v>
      </c>
      <c r="J402" s="85">
        <f t="shared" si="13"/>
        <v>-1.7208268111056597</v>
      </c>
    </row>
    <row r="403" spans="7:10" x14ac:dyDescent="0.2">
      <c r="G403" s="82">
        <v>398</v>
      </c>
      <c r="H403" s="83">
        <v>0.55225400000000002</v>
      </c>
      <c r="I403" s="84">
        <f t="shared" si="12"/>
        <v>57.781795535115791</v>
      </c>
      <c r="J403" s="85">
        <f t="shared" si="13"/>
        <v>-5.2019340342952916</v>
      </c>
    </row>
    <row r="404" spans="7:10" x14ac:dyDescent="0.2">
      <c r="G404" s="82">
        <v>399</v>
      </c>
      <c r="H404" s="83">
        <v>0.36209400000000003</v>
      </c>
      <c r="I404" s="84">
        <f t="shared" si="12"/>
        <v>55.497320609252412</v>
      </c>
      <c r="J404" s="85">
        <f t="shared" si="13"/>
        <v>-2.9174591084319133</v>
      </c>
    </row>
    <row r="405" spans="7:10" x14ac:dyDescent="0.2">
      <c r="G405" s="82">
        <v>400</v>
      </c>
      <c r="H405" s="83">
        <v>-0.34298800000000002</v>
      </c>
      <c r="I405" s="84">
        <f t="shared" si="12"/>
        <v>47.787507846991588</v>
      </c>
      <c r="J405" s="85">
        <f t="shared" si="13"/>
        <v>4.7923536538289113</v>
      </c>
    </row>
    <row r="406" spans="7:10" x14ac:dyDescent="0.2">
      <c r="G406" s="82">
        <v>401</v>
      </c>
      <c r="H406" s="83">
        <v>0.25599</v>
      </c>
      <c r="I406" s="84">
        <f t="shared" si="12"/>
        <v>54.262136674558867</v>
      </c>
      <c r="J406" s="85">
        <f t="shared" si="13"/>
        <v>-1.6822751737383683</v>
      </c>
    </row>
    <row r="407" spans="7:10" x14ac:dyDescent="0.2">
      <c r="G407" s="82">
        <v>402</v>
      </c>
      <c r="H407" s="83">
        <v>-1.1015170000000001</v>
      </c>
      <c r="I407" s="84">
        <f t="shared" si="12"/>
        <v>40.684857163021022</v>
      </c>
      <c r="J407" s="85">
        <f t="shared" si="13"/>
        <v>11.895004337799479</v>
      </c>
    </row>
    <row r="408" spans="7:10" x14ac:dyDescent="0.2">
      <c r="G408" s="82">
        <v>403</v>
      </c>
      <c r="H408" s="83">
        <v>-1.009355</v>
      </c>
      <c r="I408" s="84">
        <f t="shared" si="12"/>
        <v>41.488093227560249</v>
      </c>
      <c r="J408" s="85">
        <f t="shared" si="13"/>
        <v>11.09176827326025</v>
      </c>
    </row>
    <row r="409" spans="7:10" x14ac:dyDescent="0.2">
      <c r="G409" s="82">
        <v>404</v>
      </c>
      <c r="H409" s="83">
        <v>0.65452200000000005</v>
      </c>
      <c r="I409" s="84">
        <f t="shared" si="12"/>
        <v>59.049028409657033</v>
      </c>
      <c r="J409" s="85">
        <f t="shared" si="13"/>
        <v>-6.4691669088365344</v>
      </c>
    </row>
    <row r="410" spans="7:10" x14ac:dyDescent="0.2">
      <c r="G410" s="82">
        <v>405</v>
      </c>
      <c r="H410" s="83">
        <v>0.91055600000000003</v>
      </c>
      <c r="I410" s="84">
        <f t="shared" si="12"/>
        <v>62.344851971613394</v>
      </c>
      <c r="J410" s="85">
        <f t="shared" si="13"/>
        <v>-9.7649904707928954</v>
      </c>
    </row>
    <row r="411" spans="7:10" x14ac:dyDescent="0.2">
      <c r="G411" s="82">
        <v>406</v>
      </c>
      <c r="H411" s="83">
        <v>-1.043407</v>
      </c>
      <c r="I411" s="84">
        <f t="shared" si="12"/>
        <v>41.189482962017806</v>
      </c>
      <c r="J411" s="85">
        <f t="shared" si="13"/>
        <v>11.390378538802693</v>
      </c>
    </row>
    <row r="412" spans="7:10" x14ac:dyDescent="0.2">
      <c r="G412" s="82">
        <v>407</v>
      </c>
      <c r="H412" s="83">
        <v>1.172811</v>
      </c>
      <c r="I412" s="84">
        <f t="shared" si="12"/>
        <v>65.911556397907972</v>
      </c>
      <c r="J412" s="85">
        <f t="shared" si="13"/>
        <v>-13.331694897087473</v>
      </c>
    </row>
    <row r="413" spans="7:10" x14ac:dyDescent="0.2">
      <c r="G413" s="82">
        <v>408</v>
      </c>
      <c r="H413" s="83">
        <v>1.433694</v>
      </c>
      <c r="I413" s="84">
        <f t="shared" si="12"/>
        <v>69.662031688203029</v>
      </c>
      <c r="J413" s="85">
        <f t="shared" si="13"/>
        <v>-17.08217018738253</v>
      </c>
    </row>
    <row r="414" spans="7:10" x14ac:dyDescent="0.2">
      <c r="G414" s="82">
        <v>409</v>
      </c>
      <c r="H414" s="83">
        <v>-0.926485</v>
      </c>
      <c r="I414" s="84">
        <f t="shared" si="12"/>
        <v>42.223876613920737</v>
      </c>
      <c r="J414" s="85">
        <f t="shared" si="13"/>
        <v>10.355984886899762</v>
      </c>
    </row>
    <row r="415" spans="7:10" x14ac:dyDescent="0.2">
      <c r="G415" s="82">
        <v>410</v>
      </c>
      <c r="H415" s="83">
        <v>0.80863799999999997</v>
      </c>
      <c r="I415" s="84">
        <f t="shared" si="12"/>
        <v>61.011418148901782</v>
      </c>
      <c r="J415" s="85">
        <f t="shared" si="13"/>
        <v>-8.4315566480812834</v>
      </c>
    </row>
    <row r="416" spans="7:10" x14ac:dyDescent="0.2">
      <c r="G416" s="82">
        <v>411</v>
      </c>
      <c r="H416" s="83">
        <v>-1.3354379999999999</v>
      </c>
      <c r="I416" s="84">
        <f t="shared" si="12"/>
        <v>38.715259542095168</v>
      </c>
      <c r="J416" s="85">
        <f t="shared" si="13"/>
        <v>13.864601958725331</v>
      </c>
    </row>
    <row r="417" spans="7:10" x14ac:dyDescent="0.2">
      <c r="G417" s="82">
        <v>412</v>
      </c>
      <c r="H417" s="83">
        <v>0.84367800000000004</v>
      </c>
      <c r="I417" s="84">
        <f t="shared" si="12"/>
        <v>61.466612173733026</v>
      </c>
      <c r="J417" s="85">
        <f t="shared" si="13"/>
        <v>-8.8867506729125267</v>
      </c>
    </row>
    <row r="418" spans="7:10" x14ac:dyDescent="0.2">
      <c r="G418" s="82">
        <v>413</v>
      </c>
      <c r="H418" s="83">
        <v>-0.42897099999999999</v>
      </c>
      <c r="I418" s="84">
        <f t="shared" si="12"/>
        <v>46.923776777195563</v>
      </c>
      <c r="J418" s="85">
        <f t="shared" si="13"/>
        <v>5.6560847236249359</v>
      </c>
    </row>
    <row r="419" spans="7:10" x14ac:dyDescent="0.2">
      <c r="G419" s="82">
        <v>414</v>
      </c>
      <c r="H419" s="83">
        <v>0.42420400000000003</v>
      </c>
      <c r="I419" s="84">
        <f t="shared" si="12"/>
        <v>56.233364939077504</v>
      </c>
      <c r="J419" s="85">
        <f t="shared" si="13"/>
        <v>-3.6535034382570046</v>
      </c>
    </row>
    <row r="420" spans="7:10" x14ac:dyDescent="0.2">
      <c r="G420" s="82">
        <v>415</v>
      </c>
      <c r="H420" s="83">
        <v>0.24454899999999999</v>
      </c>
      <c r="I420" s="84">
        <f t="shared" si="12"/>
        <v>54.130602009545903</v>
      </c>
      <c r="J420" s="85">
        <f t="shared" si="13"/>
        <v>-1.5507405087254043</v>
      </c>
    </row>
    <row r="421" spans="7:10" x14ac:dyDescent="0.2">
      <c r="G421" s="82">
        <v>416</v>
      </c>
      <c r="H421" s="83">
        <v>-1.8849750000000001</v>
      </c>
      <c r="I421" s="84">
        <f t="shared" si="12"/>
        <v>34.455182583001637</v>
      </c>
      <c r="J421" s="85">
        <f t="shared" si="13"/>
        <v>18.124678917818862</v>
      </c>
    </row>
    <row r="422" spans="7:10" x14ac:dyDescent="0.2">
      <c r="G422" s="82">
        <v>417</v>
      </c>
      <c r="H422" s="83">
        <v>-0.33972999999999998</v>
      </c>
      <c r="I422" s="84">
        <f t="shared" si="12"/>
        <v>47.820546459774725</v>
      </c>
      <c r="J422" s="85">
        <f t="shared" si="13"/>
        <v>4.7593150410457739</v>
      </c>
    </row>
    <row r="423" spans="7:10" x14ac:dyDescent="0.2">
      <c r="G423" s="82">
        <v>418</v>
      </c>
      <c r="H423" s="83">
        <v>-2.7629229999999998</v>
      </c>
      <c r="I423" s="84">
        <f t="shared" si="12"/>
        <v>28.600337792117625</v>
      </c>
      <c r="J423" s="85">
        <f t="shared" si="13"/>
        <v>23.979523708702875</v>
      </c>
    </row>
    <row r="424" spans="7:10" x14ac:dyDescent="0.2">
      <c r="G424" s="82">
        <v>419</v>
      </c>
      <c r="H424" s="83">
        <v>-1.323186</v>
      </c>
      <c r="I424" s="84">
        <f t="shared" si="12"/>
        <v>38.816012989977466</v>
      </c>
      <c r="J424" s="85">
        <f t="shared" si="13"/>
        <v>13.763848510843033</v>
      </c>
    </row>
    <row r="425" spans="7:10" x14ac:dyDescent="0.2">
      <c r="G425" s="82">
        <v>420</v>
      </c>
      <c r="H425" s="83">
        <v>1.1145640000000001</v>
      </c>
      <c r="I425" s="84">
        <f t="shared" si="12"/>
        <v>65.102160376321478</v>
      </c>
      <c r="J425" s="85">
        <f t="shared" si="13"/>
        <v>-12.522298875500979</v>
      </c>
    </row>
    <row r="426" spans="7:10" x14ac:dyDescent="0.2">
      <c r="G426" s="82">
        <v>421</v>
      </c>
      <c r="H426" s="83">
        <v>-0.79855399999999999</v>
      </c>
      <c r="I426" s="84">
        <f t="shared" si="12"/>
        <v>43.385449541195342</v>
      </c>
      <c r="J426" s="85">
        <f t="shared" si="13"/>
        <v>9.1944119596251568</v>
      </c>
    </row>
    <row r="427" spans="7:10" x14ac:dyDescent="0.2">
      <c r="G427" s="82">
        <v>422</v>
      </c>
      <c r="H427" s="83">
        <v>-0.76691799999999999</v>
      </c>
      <c r="I427" s="84">
        <f t="shared" si="12"/>
        <v>43.677588863601009</v>
      </c>
      <c r="J427" s="85">
        <f t="shared" si="13"/>
        <v>8.9022726372194914</v>
      </c>
    </row>
    <row r="428" spans="7:10" x14ac:dyDescent="0.2">
      <c r="G428" s="82">
        <v>423</v>
      </c>
      <c r="H428" s="83">
        <v>1.266551</v>
      </c>
      <c r="I428" s="84">
        <f t="shared" si="12"/>
        <v>67.235342926126918</v>
      </c>
      <c r="J428" s="85">
        <f t="shared" si="13"/>
        <v>-14.655481425306419</v>
      </c>
    </row>
    <row r="429" spans="7:10" x14ac:dyDescent="0.2">
      <c r="G429" s="82">
        <v>424</v>
      </c>
      <c r="H429" s="83">
        <v>0.23771400000000001</v>
      </c>
      <c r="I429" s="84">
        <f t="shared" si="12"/>
        <v>54.052173705418618</v>
      </c>
      <c r="J429" s="85">
        <f t="shared" si="13"/>
        <v>-1.4723122045981185</v>
      </c>
    </row>
    <row r="430" spans="7:10" x14ac:dyDescent="0.2">
      <c r="G430" s="82">
        <v>425</v>
      </c>
      <c r="H430" s="83">
        <v>-6.6488000000000005E-2</v>
      </c>
      <c r="I430" s="84">
        <f t="shared" si="12"/>
        <v>50.674294527314942</v>
      </c>
      <c r="J430" s="85">
        <f t="shared" si="13"/>
        <v>1.9055669735055574</v>
      </c>
    </row>
    <row r="431" spans="7:10" x14ac:dyDescent="0.2">
      <c r="G431" s="82">
        <v>426</v>
      </c>
      <c r="H431" s="83">
        <v>-0.52413900000000002</v>
      </c>
      <c r="I431" s="84">
        <f t="shared" si="12"/>
        <v>45.985969223099694</v>
      </c>
      <c r="J431" s="85">
        <f t="shared" si="13"/>
        <v>6.5938922777208049</v>
      </c>
    </row>
    <row r="432" spans="7:10" x14ac:dyDescent="0.2">
      <c r="G432" s="82">
        <v>427</v>
      </c>
      <c r="H432" s="83">
        <v>-0.50311799999999995</v>
      </c>
      <c r="I432" s="84">
        <f t="shared" si="12"/>
        <v>46.191489010591788</v>
      </c>
      <c r="J432" s="85">
        <f t="shared" si="13"/>
        <v>6.3883724902287113</v>
      </c>
    </row>
    <row r="433" spans="7:10" x14ac:dyDescent="0.2">
      <c r="G433" s="82">
        <v>428</v>
      </c>
      <c r="H433" s="83">
        <v>-0.54942999999999997</v>
      </c>
      <c r="I433" s="84">
        <f t="shared" si="12"/>
        <v>45.739913697726536</v>
      </c>
      <c r="J433" s="85">
        <f t="shared" si="13"/>
        <v>6.8399478030939633</v>
      </c>
    </row>
    <row r="434" spans="7:10" x14ac:dyDescent="0.2">
      <c r="G434" s="82">
        <v>429</v>
      </c>
      <c r="H434" s="83">
        <v>1.53328</v>
      </c>
      <c r="I434" s="84">
        <f t="shared" si="12"/>
        <v>71.149323119800613</v>
      </c>
      <c r="J434" s="85">
        <f t="shared" si="13"/>
        <v>-18.569461618980114</v>
      </c>
    </row>
    <row r="435" spans="7:10" x14ac:dyDescent="0.2">
      <c r="G435" s="82">
        <v>430</v>
      </c>
      <c r="H435" s="83">
        <v>-0.89963700000000002</v>
      </c>
      <c r="I435" s="84">
        <f t="shared" si="12"/>
        <v>42.465041242209644</v>
      </c>
      <c r="J435" s="85">
        <f t="shared" si="13"/>
        <v>10.114820258610855</v>
      </c>
    </row>
    <row r="436" spans="7:10" x14ac:dyDescent="0.2">
      <c r="G436" s="82">
        <v>431</v>
      </c>
      <c r="H436" s="83">
        <v>-0.83375500000000002</v>
      </c>
      <c r="I436" s="84">
        <f t="shared" si="12"/>
        <v>43.062685700964174</v>
      </c>
      <c r="J436" s="85">
        <f t="shared" si="13"/>
        <v>9.5171757998563251</v>
      </c>
    </row>
    <row r="437" spans="7:10" x14ac:dyDescent="0.2">
      <c r="G437" s="82">
        <v>432</v>
      </c>
      <c r="H437" s="83">
        <v>-0.49822899999999998</v>
      </c>
      <c r="I437" s="84">
        <f t="shared" si="12"/>
        <v>46.239419678642911</v>
      </c>
      <c r="J437" s="85">
        <f t="shared" si="13"/>
        <v>6.3404418221775884</v>
      </c>
    </row>
    <row r="438" spans="7:10" x14ac:dyDescent="0.2">
      <c r="G438" s="82">
        <v>433</v>
      </c>
      <c r="H438" s="83">
        <v>-9.5447000000000004E-2</v>
      </c>
      <c r="I438" s="84">
        <f t="shared" si="12"/>
        <v>50.363949888122846</v>
      </c>
      <c r="J438" s="85">
        <f t="shared" si="13"/>
        <v>2.2159116126976528</v>
      </c>
    </row>
    <row r="439" spans="7:10" x14ac:dyDescent="0.2">
      <c r="G439" s="82">
        <v>434</v>
      </c>
      <c r="H439" s="83">
        <v>0.68639799999999995</v>
      </c>
      <c r="I439" s="84">
        <f t="shared" si="12"/>
        <v>59.449666272964855</v>
      </c>
      <c r="J439" s="85">
        <f t="shared" si="13"/>
        <v>-6.8698047721443558</v>
      </c>
    </row>
    <row r="440" spans="7:10" x14ac:dyDescent="0.2">
      <c r="G440" s="82">
        <v>435</v>
      </c>
      <c r="H440" s="83">
        <v>-0.82633199999999996</v>
      </c>
      <c r="I440" s="84">
        <f t="shared" si="12"/>
        <v>43.130548037197322</v>
      </c>
      <c r="J440" s="85">
        <f t="shared" si="13"/>
        <v>9.4493134636231773</v>
      </c>
    </row>
    <row r="441" spans="7:10" x14ac:dyDescent="0.2">
      <c r="G441" s="82">
        <v>436</v>
      </c>
      <c r="H441" s="83">
        <v>-0.52880099999999997</v>
      </c>
      <c r="I441" s="84">
        <f t="shared" si="12"/>
        <v>45.940513440608484</v>
      </c>
      <c r="J441" s="85">
        <f t="shared" si="13"/>
        <v>6.639348060212015</v>
      </c>
    </row>
    <row r="442" spans="7:10" x14ac:dyDescent="0.2">
      <c r="G442" s="82">
        <v>437</v>
      </c>
      <c r="H442" s="83">
        <v>0.40990500000000002</v>
      </c>
      <c r="I442" s="84">
        <f t="shared" si="12"/>
        <v>56.063052058666599</v>
      </c>
      <c r="J442" s="85">
        <f t="shared" si="13"/>
        <v>-3.4831905578461004</v>
      </c>
    </row>
    <row r="443" spans="7:10" x14ac:dyDescent="0.2">
      <c r="G443" s="82">
        <v>438</v>
      </c>
      <c r="H443" s="83">
        <v>-3.8032999999999997E-2</v>
      </c>
      <c r="I443" s="84">
        <f t="shared" si="12"/>
        <v>50.981100609797366</v>
      </c>
      <c r="J443" s="85">
        <f t="shared" si="13"/>
        <v>1.598760891023133</v>
      </c>
    </row>
    <row r="444" spans="7:10" x14ac:dyDescent="0.2">
      <c r="G444" s="82">
        <v>439</v>
      </c>
      <c r="H444" s="83">
        <v>0.391793</v>
      </c>
      <c r="I444" s="84">
        <f t="shared" si="12"/>
        <v>55.848063493430267</v>
      </c>
      <c r="J444" s="85">
        <f t="shared" si="13"/>
        <v>-3.2682019926097681</v>
      </c>
    </row>
    <row r="445" spans="7:10" x14ac:dyDescent="0.2">
      <c r="G445" s="82">
        <v>440</v>
      </c>
      <c r="H445" s="83">
        <v>0.124149</v>
      </c>
      <c r="I445" s="84">
        <f t="shared" si="12"/>
        <v>52.765574784852234</v>
      </c>
      <c r="J445" s="85">
        <f t="shared" si="13"/>
        <v>-0.18571328403173482</v>
      </c>
    </row>
    <row r="446" spans="7:10" x14ac:dyDescent="0.2">
      <c r="G446" s="82">
        <v>441</v>
      </c>
      <c r="H446" s="83">
        <v>0.34483200000000003</v>
      </c>
      <c r="I446" s="84">
        <f t="shared" si="12"/>
        <v>55.294470861002708</v>
      </c>
      <c r="J446" s="85">
        <f t="shared" si="13"/>
        <v>-2.7146093601822088</v>
      </c>
    </row>
    <row r="447" spans="7:10" x14ac:dyDescent="0.2">
      <c r="G447" s="82">
        <v>442</v>
      </c>
      <c r="H447" s="83">
        <v>-1.036789</v>
      </c>
      <c r="I447" s="84">
        <f t="shared" si="12"/>
        <v>41.247349066467116</v>
      </c>
      <c r="J447" s="85">
        <f t="shared" si="13"/>
        <v>11.332512434353383</v>
      </c>
    </row>
    <row r="448" spans="7:10" x14ac:dyDescent="0.2">
      <c r="G448" s="82">
        <v>443</v>
      </c>
      <c r="H448" s="83">
        <v>0.73384000000000005</v>
      </c>
      <c r="I448" s="84">
        <f t="shared" si="12"/>
        <v>60.050986569189902</v>
      </c>
      <c r="J448" s="85">
        <f t="shared" si="13"/>
        <v>-7.4711250683694033</v>
      </c>
    </row>
    <row r="449" spans="7:10" x14ac:dyDescent="0.2">
      <c r="G449" s="82">
        <v>444</v>
      </c>
      <c r="H449" s="83">
        <v>-0.26980399999999999</v>
      </c>
      <c r="I449" s="84">
        <f t="shared" si="12"/>
        <v>48.535181854510142</v>
      </c>
      <c r="J449" s="85">
        <f t="shared" si="13"/>
        <v>4.0446796463103567</v>
      </c>
    </row>
    <row r="450" spans="7:10" x14ac:dyDescent="0.2">
      <c r="G450" s="82">
        <v>445</v>
      </c>
      <c r="H450" s="83">
        <v>1.607369</v>
      </c>
      <c r="I450" s="84">
        <f t="shared" si="12"/>
        <v>72.2763857748498</v>
      </c>
      <c r="J450" s="85">
        <f t="shared" si="13"/>
        <v>-19.696524274029301</v>
      </c>
    </row>
    <row r="451" spans="7:10" x14ac:dyDescent="0.2">
      <c r="G451" s="82">
        <v>446</v>
      </c>
      <c r="H451" s="83">
        <v>-0.38630100000000001</v>
      </c>
      <c r="I451" s="84">
        <f t="shared" si="12"/>
        <v>47.350443614394202</v>
      </c>
      <c r="J451" s="85">
        <f t="shared" si="13"/>
        <v>5.2294178864262975</v>
      </c>
    </row>
    <row r="452" spans="7:10" x14ac:dyDescent="0.2">
      <c r="G452" s="82">
        <v>447</v>
      </c>
      <c r="H452" s="83">
        <v>-0.152144</v>
      </c>
      <c r="I452" s="84">
        <f t="shared" si="12"/>
        <v>49.761838206277652</v>
      </c>
      <c r="J452" s="85">
        <f t="shared" si="13"/>
        <v>2.8180232945428472</v>
      </c>
    </row>
    <row r="453" spans="7:10" x14ac:dyDescent="0.2">
      <c r="G453" s="82">
        <v>448</v>
      </c>
      <c r="H453" s="83">
        <v>-1.491601</v>
      </c>
      <c r="I453" s="84">
        <f t="shared" si="12"/>
        <v>37.453742973272803</v>
      </c>
      <c r="J453" s="85">
        <f t="shared" si="13"/>
        <v>15.126118527547696</v>
      </c>
    </row>
    <row r="454" spans="7:10" x14ac:dyDescent="0.2">
      <c r="G454" s="82">
        <v>449</v>
      </c>
      <c r="H454" s="83">
        <v>-2.0077639999999999</v>
      </c>
      <c r="I454" s="84">
        <f t="shared" ref="I454:I517" si="14">$C$8*EXP(($C$11-$C$12^2/2)*$C$14+H454*$C$12*SQRT($C$14))</f>
        <v>33.569299489011009</v>
      </c>
      <c r="J454" s="85">
        <f t="shared" ref="J454:J517" si="15">($C$9*EXP(-$C$10*($C$13-$C$14))-I454)*$C$15/1000000</f>
        <v>19.01056201180949</v>
      </c>
    </row>
    <row r="455" spans="7:10" x14ac:dyDescent="0.2">
      <c r="G455" s="82">
        <v>450</v>
      </c>
      <c r="H455" s="83">
        <v>-7.6902999999999999E-2</v>
      </c>
      <c r="I455" s="84">
        <f t="shared" si="14"/>
        <v>50.562460600267187</v>
      </c>
      <c r="J455" s="85">
        <f t="shared" si="15"/>
        <v>2.0174009005533122</v>
      </c>
    </row>
    <row r="456" spans="7:10" x14ac:dyDescent="0.2">
      <c r="G456" s="82">
        <v>451</v>
      </c>
      <c r="H456" s="83">
        <v>1.1771339999999999</v>
      </c>
      <c r="I456" s="84">
        <f t="shared" si="14"/>
        <v>65.972028102218488</v>
      </c>
      <c r="J456" s="85">
        <f t="shared" si="15"/>
        <v>-13.392166601397989</v>
      </c>
    </row>
    <row r="457" spans="7:10" x14ac:dyDescent="0.2">
      <c r="G457" s="82">
        <v>452</v>
      </c>
      <c r="H457" s="83">
        <v>-0.36535499999999999</v>
      </c>
      <c r="I457" s="84">
        <f t="shared" si="14"/>
        <v>47.56130478813791</v>
      </c>
      <c r="J457" s="85">
        <f t="shared" si="15"/>
        <v>5.0185567126825887</v>
      </c>
    </row>
    <row r="458" spans="7:10" x14ac:dyDescent="0.2">
      <c r="G458" s="82">
        <v>453</v>
      </c>
      <c r="H458" s="83">
        <v>-0.67338200000000004</v>
      </c>
      <c r="I458" s="84">
        <f t="shared" si="14"/>
        <v>44.552893970782293</v>
      </c>
      <c r="J458" s="85">
        <f t="shared" si="15"/>
        <v>8.0269675300382062</v>
      </c>
    </row>
    <row r="459" spans="7:10" x14ac:dyDescent="0.2">
      <c r="G459" s="82">
        <v>454</v>
      </c>
      <c r="H459" s="83">
        <v>1.339939</v>
      </c>
      <c r="I459" s="84">
        <f t="shared" si="14"/>
        <v>68.290249152288567</v>
      </c>
      <c r="J459" s="85">
        <f t="shared" si="15"/>
        <v>-15.710387651468068</v>
      </c>
    </row>
    <row r="460" spans="7:10" x14ac:dyDescent="0.2">
      <c r="G460" s="82">
        <v>455</v>
      </c>
      <c r="H460" s="83">
        <v>-0.22405900000000001</v>
      </c>
      <c r="I460" s="84">
        <f t="shared" si="14"/>
        <v>49.00845890580559</v>
      </c>
      <c r="J460" s="85">
        <f t="shared" si="15"/>
        <v>3.5714025950149093</v>
      </c>
    </row>
    <row r="461" spans="7:10" x14ac:dyDescent="0.2">
      <c r="G461" s="82">
        <v>456</v>
      </c>
      <c r="H461" s="83">
        <v>-1.8422270000000001</v>
      </c>
      <c r="I461" s="84">
        <f t="shared" si="14"/>
        <v>34.769050727734523</v>
      </c>
      <c r="J461" s="85">
        <f t="shared" si="15"/>
        <v>17.810810773085976</v>
      </c>
    </row>
    <row r="462" spans="7:10" x14ac:dyDescent="0.2">
      <c r="G462" s="82">
        <v>457</v>
      </c>
      <c r="H462" s="83">
        <v>0.131996</v>
      </c>
      <c r="I462" s="84">
        <f t="shared" si="14"/>
        <v>52.853481508993575</v>
      </c>
      <c r="J462" s="85">
        <f t="shared" si="15"/>
        <v>-0.27362000817307575</v>
      </c>
    </row>
    <row r="463" spans="7:10" x14ac:dyDescent="0.2">
      <c r="G463" s="82">
        <v>458</v>
      </c>
      <c r="H463" s="83">
        <v>1.3020069999999999</v>
      </c>
      <c r="I463" s="84">
        <f t="shared" si="14"/>
        <v>67.742950256010744</v>
      </c>
      <c r="J463" s="85">
        <f t="shared" si="15"/>
        <v>-15.163088755190245</v>
      </c>
    </row>
    <row r="464" spans="7:10" x14ac:dyDescent="0.2">
      <c r="G464" s="82">
        <v>459</v>
      </c>
      <c r="H464" s="83">
        <v>0.321071</v>
      </c>
      <c r="I464" s="84">
        <f t="shared" si="14"/>
        <v>55.016462016037295</v>
      </c>
      <c r="J464" s="85">
        <f t="shared" si="15"/>
        <v>-2.4366005152167958</v>
      </c>
    </row>
    <row r="465" spans="7:10" x14ac:dyDescent="0.2">
      <c r="G465" s="82">
        <v>460</v>
      </c>
      <c r="H465" s="83">
        <v>-0.45560099999999998</v>
      </c>
      <c r="I465" s="84">
        <f t="shared" si="14"/>
        <v>46.659448101796663</v>
      </c>
      <c r="J465" s="85">
        <f t="shared" si="15"/>
        <v>5.9204133990238361</v>
      </c>
    </row>
    <row r="466" spans="7:10" x14ac:dyDescent="0.2">
      <c r="G466" s="82">
        <v>461</v>
      </c>
      <c r="H466" s="83">
        <v>0.51127</v>
      </c>
      <c r="I466" s="84">
        <f t="shared" si="14"/>
        <v>57.281616921568769</v>
      </c>
      <c r="J466" s="85">
        <f t="shared" si="15"/>
        <v>-4.7017554207482704</v>
      </c>
    </row>
    <row r="467" spans="7:10" x14ac:dyDescent="0.2">
      <c r="G467" s="82">
        <v>462</v>
      </c>
      <c r="H467" s="83">
        <v>0.35309299999999999</v>
      </c>
      <c r="I467" s="84">
        <f t="shared" si="14"/>
        <v>55.391455102779751</v>
      </c>
      <c r="J467" s="85">
        <f t="shared" si="15"/>
        <v>-2.8115936019592525</v>
      </c>
    </row>
    <row r="468" spans="7:10" x14ac:dyDescent="0.2">
      <c r="G468" s="82">
        <v>463</v>
      </c>
      <c r="H468" s="83">
        <v>1.483657</v>
      </c>
      <c r="I468" s="84">
        <f t="shared" si="14"/>
        <v>70.404288895865747</v>
      </c>
      <c r="J468" s="85">
        <f t="shared" si="15"/>
        <v>-17.824427395045248</v>
      </c>
    </row>
    <row r="469" spans="7:10" x14ac:dyDescent="0.2">
      <c r="G469" s="82">
        <v>464</v>
      </c>
      <c r="H469" s="83">
        <v>-0.67621200000000004</v>
      </c>
      <c r="I469" s="84">
        <f t="shared" si="14"/>
        <v>44.526155395841045</v>
      </c>
      <c r="J469" s="85">
        <f t="shared" si="15"/>
        <v>8.0537061049794545</v>
      </c>
    </row>
    <row r="470" spans="7:10" x14ac:dyDescent="0.2">
      <c r="G470" s="82">
        <v>465</v>
      </c>
      <c r="H470" s="83">
        <v>-0.50146900000000005</v>
      </c>
      <c r="I470" s="84">
        <f t="shared" si="14"/>
        <v>46.20764988429621</v>
      </c>
      <c r="J470" s="85">
        <f t="shared" si="15"/>
        <v>6.3722116165242895</v>
      </c>
    </row>
    <row r="471" spans="7:10" x14ac:dyDescent="0.2">
      <c r="G471" s="82">
        <v>466</v>
      </c>
      <c r="H471" s="83">
        <v>-0.90084600000000004</v>
      </c>
      <c r="I471" s="84">
        <f t="shared" si="14"/>
        <v>42.454151730207442</v>
      </c>
      <c r="J471" s="85">
        <f t="shared" si="15"/>
        <v>10.125709770613057</v>
      </c>
    </row>
    <row r="472" spans="7:10" x14ac:dyDescent="0.2">
      <c r="G472" s="82">
        <v>467</v>
      </c>
      <c r="H472" s="83">
        <v>1.387524</v>
      </c>
      <c r="I472" s="84">
        <f t="shared" si="14"/>
        <v>68.983082561384336</v>
      </c>
      <c r="J472" s="85">
        <f t="shared" si="15"/>
        <v>-16.403221060563837</v>
      </c>
    </row>
    <row r="473" spans="7:10" x14ac:dyDescent="0.2">
      <c r="G473" s="82">
        <v>468</v>
      </c>
      <c r="H473" s="83">
        <v>0.46319399999999999</v>
      </c>
      <c r="I473" s="84">
        <f t="shared" si="14"/>
        <v>56.700401449663616</v>
      </c>
      <c r="J473" s="85">
        <f t="shared" si="15"/>
        <v>-4.1205399488431169</v>
      </c>
    </row>
    <row r="474" spans="7:10" x14ac:dyDescent="0.2">
      <c r="G474" s="82">
        <v>469</v>
      </c>
      <c r="H474" s="83">
        <v>0.95874199999999998</v>
      </c>
      <c r="I474" s="84">
        <f t="shared" si="14"/>
        <v>62.98539639774706</v>
      </c>
      <c r="J474" s="85">
        <f t="shared" si="15"/>
        <v>-10.405534896926561</v>
      </c>
    </row>
    <row r="475" spans="7:10" x14ac:dyDescent="0.2">
      <c r="G475" s="82">
        <v>470</v>
      </c>
      <c r="H475" s="83">
        <v>-1.629634</v>
      </c>
      <c r="I475" s="84">
        <f t="shared" si="14"/>
        <v>36.372952300127061</v>
      </c>
      <c r="J475" s="85">
        <f t="shared" si="15"/>
        <v>16.206909200693438</v>
      </c>
    </row>
    <row r="476" spans="7:10" x14ac:dyDescent="0.2">
      <c r="G476" s="82">
        <v>471</v>
      </c>
      <c r="H476" s="83">
        <v>0.51208200000000004</v>
      </c>
      <c r="I476" s="84">
        <f t="shared" si="14"/>
        <v>57.291484599338261</v>
      </c>
      <c r="J476" s="85">
        <f t="shared" si="15"/>
        <v>-4.7116230985177623</v>
      </c>
    </row>
    <row r="477" spans="7:10" x14ac:dyDescent="0.2">
      <c r="G477" s="82">
        <v>472</v>
      </c>
      <c r="H477" s="83">
        <v>-1.3056890000000001</v>
      </c>
      <c r="I477" s="84">
        <f t="shared" si="14"/>
        <v>38.960353090142767</v>
      </c>
      <c r="J477" s="85">
        <f t="shared" si="15"/>
        <v>13.619508410677732</v>
      </c>
    </row>
    <row r="478" spans="7:10" x14ac:dyDescent="0.2">
      <c r="G478" s="82">
        <v>473</v>
      </c>
      <c r="H478" s="83">
        <v>1.4272720000000001</v>
      </c>
      <c r="I478" s="84">
        <f t="shared" si="14"/>
        <v>69.567194885061113</v>
      </c>
      <c r="J478" s="85">
        <f t="shared" si="15"/>
        <v>-16.987333384240614</v>
      </c>
    </row>
    <row r="479" spans="7:10" x14ac:dyDescent="0.2">
      <c r="G479" s="82">
        <v>474</v>
      </c>
      <c r="H479" s="83">
        <v>-0.53102199999999999</v>
      </c>
      <c r="I479" s="84">
        <f t="shared" si="14"/>
        <v>45.918873884083681</v>
      </c>
      <c r="J479" s="85">
        <f t="shared" si="15"/>
        <v>6.6609876167368185</v>
      </c>
    </row>
    <row r="480" spans="7:10" x14ac:dyDescent="0.2">
      <c r="G480" s="82">
        <v>475</v>
      </c>
      <c r="H480" s="83">
        <v>0.88731700000000002</v>
      </c>
      <c r="I480" s="84">
        <f t="shared" si="14"/>
        <v>62.038264607172955</v>
      </c>
      <c r="J480" s="85">
        <f t="shared" si="15"/>
        <v>-9.4584031063524563</v>
      </c>
    </row>
    <row r="481" spans="7:10" x14ac:dyDescent="0.2">
      <c r="G481" s="82">
        <v>476</v>
      </c>
      <c r="H481" s="83">
        <v>0.94823400000000002</v>
      </c>
      <c r="I481" s="84">
        <f t="shared" si="14"/>
        <v>62.845153060242119</v>
      </c>
      <c r="J481" s="85">
        <f t="shared" si="15"/>
        <v>-10.26529155942162</v>
      </c>
    </row>
    <row r="482" spans="7:10" x14ac:dyDescent="0.2">
      <c r="G482" s="82">
        <v>477</v>
      </c>
      <c r="H482" s="83">
        <v>-0.22792399999999999</v>
      </c>
      <c r="I482" s="84">
        <f t="shared" si="14"/>
        <v>48.968293812839462</v>
      </c>
      <c r="J482" s="85">
        <f t="shared" si="15"/>
        <v>3.6115676879810366</v>
      </c>
    </row>
    <row r="483" spans="7:10" x14ac:dyDescent="0.2">
      <c r="G483" s="82">
        <v>478</v>
      </c>
      <c r="H483" s="83">
        <v>-1.028788</v>
      </c>
      <c r="I483" s="84">
        <f t="shared" si="14"/>
        <v>41.317416333564324</v>
      </c>
      <c r="J483" s="85">
        <f t="shared" si="15"/>
        <v>11.262445167256175</v>
      </c>
    </row>
    <row r="484" spans="7:10" x14ac:dyDescent="0.2">
      <c r="G484" s="82">
        <v>479</v>
      </c>
      <c r="H484" s="83">
        <v>0.70814500000000002</v>
      </c>
      <c r="I484" s="84">
        <f t="shared" si="14"/>
        <v>59.724555151059867</v>
      </c>
      <c r="J484" s="85">
        <f t="shared" si="15"/>
        <v>-7.1446936502393683</v>
      </c>
    </row>
    <row r="485" spans="7:10" x14ac:dyDescent="0.2">
      <c r="G485" s="82">
        <v>480</v>
      </c>
      <c r="H485" s="83">
        <v>0.346912</v>
      </c>
      <c r="I485" s="84">
        <f t="shared" si="14"/>
        <v>55.318874079851575</v>
      </c>
      <c r="J485" s="85">
        <f t="shared" si="15"/>
        <v>-2.7390125790310762</v>
      </c>
    </row>
    <row r="486" spans="7:10" x14ac:dyDescent="0.2">
      <c r="G486" s="82">
        <v>481</v>
      </c>
      <c r="H486" s="83">
        <v>0.48780200000000001</v>
      </c>
      <c r="I486" s="84">
        <f t="shared" si="14"/>
        <v>56.997159659110942</v>
      </c>
      <c r="J486" s="85">
        <f t="shared" si="15"/>
        <v>-4.4172981582904427</v>
      </c>
    </row>
    <row r="487" spans="7:10" x14ac:dyDescent="0.2">
      <c r="G487" s="82">
        <v>482</v>
      </c>
      <c r="H487" s="83">
        <v>0.64007400000000003</v>
      </c>
      <c r="I487" s="84">
        <f t="shared" si="14"/>
        <v>58.868327064725499</v>
      </c>
      <c r="J487" s="85">
        <f t="shared" si="15"/>
        <v>-6.2884655639049996</v>
      </c>
    </row>
    <row r="488" spans="7:10" x14ac:dyDescent="0.2">
      <c r="G488" s="82">
        <v>483</v>
      </c>
      <c r="H488" s="83">
        <v>-0.57131100000000001</v>
      </c>
      <c r="I488" s="84">
        <f t="shared" si="14"/>
        <v>45.528096494302709</v>
      </c>
      <c r="J488" s="85">
        <f t="shared" si="15"/>
        <v>7.0517650065177904</v>
      </c>
    </row>
    <row r="489" spans="7:10" x14ac:dyDescent="0.2">
      <c r="G489" s="82">
        <v>484</v>
      </c>
      <c r="H489" s="83">
        <v>0.401065</v>
      </c>
      <c r="I489" s="84">
        <f t="shared" si="14"/>
        <v>55.958018490914306</v>
      </c>
      <c r="J489" s="85">
        <f t="shared" si="15"/>
        <v>-3.3781569900938067</v>
      </c>
    </row>
    <row r="490" spans="7:10" x14ac:dyDescent="0.2">
      <c r="G490" s="82">
        <v>485</v>
      </c>
      <c r="H490" s="83">
        <v>1.72739</v>
      </c>
      <c r="I490" s="84">
        <f t="shared" si="14"/>
        <v>74.140189986344325</v>
      </c>
      <c r="J490" s="85">
        <f t="shared" si="15"/>
        <v>-21.560328485523826</v>
      </c>
    </row>
    <row r="491" spans="7:10" x14ac:dyDescent="0.2">
      <c r="G491" s="82">
        <v>486</v>
      </c>
      <c r="H491" s="83">
        <v>0.783605</v>
      </c>
      <c r="I491" s="84">
        <f t="shared" si="14"/>
        <v>60.688287859834212</v>
      </c>
      <c r="J491" s="85">
        <f t="shared" si="15"/>
        <v>-8.1084263590137127</v>
      </c>
    </row>
    <row r="492" spans="7:10" x14ac:dyDescent="0.2">
      <c r="G492" s="82">
        <v>487</v>
      </c>
      <c r="H492" s="83">
        <v>0.663551</v>
      </c>
      <c r="I492" s="84">
        <f t="shared" si="14"/>
        <v>59.162235764578476</v>
      </c>
      <c r="J492" s="85">
        <f t="shared" si="15"/>
        <v>-6.582374263757977</v>
      </c>
    </row>
    <row r="493" spans="7:10" x14ac:dyDescent="0.2">
      <c r="G493" s="82">
        <v>488</v>
      </c>
      <c r="H493" s="83">
        <v>1.6716310000000001</v>
      </c>
      <c r="I493" s="84">
        <f t="shared" si="14"/>
        <v>73.268405807127678</v>
      </c>
      <c r="J493" s="85">
        <f t="shared" si="15"/>
        <v>-20.688544306307179</v>
      </c>
    </row>
    <row r="494" spans="7:10" x14ac:dyDescent="0.2">
      <c r="G494" s="82">
        <v>489</v>
      </c>
      <c r="H494" s="83">
        <v>-6.6529000000000005E-2</v>
      </c>
      <c r="I494" s="84">
        <f t="shared" si="14"/>
        <v>50.673853793942882</v>
      </c>
      <c r="J494" s="85">
        <f t="shared" si="15"/>
        <v>1.9060077068776167</v>
      </c>
    </row>
    <row r="495" spans="7:10" x14ac:dyDescent="0.2">
      <c r="G495" s="82">
        <v>490</v>
      </c>
      <c r="H495" s="83">
        <v>0.77339000000000002</v>
      </c>
      <c r="I495" s="84">
        <f t="shared" si="14"/>
        <v>60.556923045736589</v>
      </c>
      <c r="J495" s="85">
        <f t="shared" si="15"/>
        <v>-7.97706154491609</v>
      </c>
    </row>
    <row r="496" spans="7:10" x14ac:dyDescent="0.2">
      <c r="G496" s="82">
        <v>491</v>
      </c>
      <c r="H496" s="83">
        <v>1.300826</v>
      </c>
      <c r="I496" s="84">
        <f t="shared" si="14"/>
        <v>67.725980880476669</v>
      </c>
      <c r="J496" s="85">
        <f t="shared" si="15"/>
        <v>-15.14611937965617</v>
      </c>
    </row>
    <row r="497" spans="7:10" x14ac:dyDescent="0.2">
      <c r="G497" s="82">
        <v>492</v>
      </c>
      <c r="H497" s="83">
        <v>1.3404929999999999</v>
      </c>
      <c r="I497" s="84">
        <f t="shared" si="14"/>
        <v>68.298275172304429</v>
      </c>
      <c r="J497" s="85">
        <f t="shared" si="15"/>
        <v>-15.71841367148393</v>
      </c>
    </row>
    <row r="498" spans="7:10" x14ac:dyDescent="0.2">
      <c r="G498" s="82">
        <v>493</v>
      </c>
      <c r="H498" s="83">
        <v>1.445638</v>
      </c>
      <c r="I498" s="84">
        <f t="shared" si="14"/>
        <v>69.838758519765861</v>
      </c>
      <c r="J498" s="85">
        <f t="shared" si="15"/>
        <v>-17.258897018945362</v>
      </c>
    </row>
    <row r="499" spans="7:10" x14ac:dyDescent="0.2">
      <c r="G499" s="82">
        <v>494</v>
      </c>
      <c r="H499" s="83">
        <v>0.102077</v>
      </c>
      <c r="I499" s="84">
        <f t="shared" si="14"/>
        <v>52.51909444034677</v>
      </c>
      <c r="J499" s="85">
        <f t="shared" si="15"/>
        <v>6.0767060473729373E-2</v>
      </c>
    </row>
    <row r="500" spans="7:10" x14ac:dyDescent="0.2">
      <c r="G500" s="82">
        <v>495</v>
      </c>
      <c r="H500" s="83">
        <v>0.68147899999999995</v>
      </c>
      <c r="I500" s="84">
        <f t="shared" si="14"/>
        <v>59.38766423968255</v>
      </c>
      <c r="J500" s="85">
        <f t="shared" si="15"/>
        <v>-6.8078027388620512</v>
      </c>
    </row>
    <row r="501" spans="7:10" x14ac:dyDescent="0.2">
      <c r="G501" s="82">
        <v>496</v>
      </c>
      <c r="H501" s="83">
        <v>0.17780199999999999</v>
      </c>
      <c r="I501" s="84">
        <f t="shared" si="14"/>
        <v>53.369557834309099</v>
      </c>
      <c r="J501" s="85">
        <f t="shared" si="15"/>
        <v>-0.78969633348859958</v>
      </c>
    </row>
    <row r="502" spans="7:10" x14ac:dyDescent="0.2">
      <c r="G502" s="82">
        <v>497</v>
      </c>
      <c r="H502" s="83">
        <v>0.154006</v>
      </c>
      <c r="I502" s="84">
        <f t="shared" si="14"/>
        <v>53.10083278781044</v>
      </c>
      <c r="J502" s="85">
        <f t="shared" si="15"/>
        <v>-0.52097128698994055</v>
      </c>
    </row>
    <row r="503" spans="7:10" x14ac:dyDescent="0.2">
      <c r="G503" s="82">
        <v>498</v>
      </c>
      <c r="H503" s="83">
        <v>0.56209100000000001</v>
      </c>
      <c r="I503" s="84">
        <f t="shared" si="14"/>
        <v>57.90249717502941</v>
      </c>
      <c r="J503" s="85">
        <f t="shared" si="15"/>
        <v>-5.3226356742089109</v>
      </c>
    </row>
    <row r="504" spans="7:10" x14ac:dyDescent="0.2">
      <c r="G504" s="82">
        <v>499</v>
      </c>
      <c r="H504" s="83">
        <v>0.18512600000000001</v>
      </c>
      <c r="I504" s="84">
        <f t="shared" si="14"/>
        <v>53.452540161996218</v>
      </c>
      <c r="J504" s="85">
        <f t="shared" si="15"/>
        <v>-0.87267866117571913</v>
      </c>
    </row>
    <row r="505" spans="7:10" x14ac:dyDescent="0.2">
      <c r="G505" s="82">
        <v>500</v>
      </c>
      <c r="H505" s="83">
        <v>-1.153608</v>
      </c>
      <c r="I505" s="84">
        <f t="shared" si="14"/>
        <v>40.237757396646494</v>
      </c>
      <c r="J505" s="85">
        <f t="shared" si="15"/>
        <v>12.342104104174005</v>
      </c>
    </row>
    <row r="506" spans="7:10" x14ac:dyDescent="0.2">
      <c r="G506" s="82">
        <v>501</v>
      </c>
      <c r="H506" s="83">
        <v>-0.62336400000000003</v>
      </c>
      <c r="I506" s="84">
        <f t="shared" si="14"/>
        <v>45.028135690790918</v>
      </c>
      <c r="J506" s="85">
        <f t="shared" si="15"/>
        <v>7.5517258100295805</v>
      </c>
    </row>
    <row r="507" spans="7:10" x14ac:dyDescent="0.2">
      <c r="G507" s="82">
        <v>502</v>
      </c>
      <c r="H507" s="83">
        <v>-1.05372</v>
      </c>
      <c r="I507" s="84">
        <f t="shared" si="14"/>
        <v>41.099470499139315</v>
      </c>
      <c r="J507" s="85">
        <f t="shared" si="15"/>
        <v>11.480391001681184</v>
      </c>
    </row>
    <row r="508" spans="7:10" x14ac:dyDescent="0.2">
      <c r="G508" s="82">
        <v>503</v>
      </c>
      <c r="H508" s="83">
        <v>0.27712599999999998</v>
      </c>
      <c r="I508" s="84">
        <f t="shared" si="14"/>
        <v>54.505973849576016</v>
      </c>
      <c r="J508" s="85">
        <f t="shared" si="15"/>
        <v>-1.9261123487555167</v>
      </c>
    </row>
    <row r="509" spans="7:10" x14ac:dyDescent="0.2">
      <c r="G509" s="82">
        <v>504</v>
      </c>
      <c r="H509" s="83">
        <v>3.5497000000000001E-2</v>
      </c>
      <c r="I509" s="84">
        <f t="shared" si="14"/>
        <v>51.782541524617706</v>
      </c>
      <c r="J509" s="85">
        <f t="shared" si="15"/>
        <v>0.79731997620279316</v>
      </c>
    </row>
    <row r="510" spans="7:10" x14ac:dyDescent="0.2">
      <c r="G510" s="82">
        <v>505</v>
      </c>
      <c r="H510" s="83">
        <v>-0.44682699999999997</v>
      </c>
      <c r="I510" s="84">
        <f t="shared" si="14"/>
        <v>46.746373704733649</v>
      </c>
      <c r="J510" s="85">
        <f t="shared" si="15"/>
        <v>5.8334877960868496</v>
      </c>
    </row>
    <row r="511" spans="7:10" x14ac:dyDescent="0.2">
      <c r="G511" s="82">
        <v>506</v>
      </c>
      <c r="H511" s="83">
        <v>-2.2009810000000001</v>
      </c>
      <c r="I511" s="84">
        <f t="shared" si="14"/>
        <v>32.221193791496482</v>
      </c>
      <c r="J511" s="85">
        <f t="shared" si="15"/>
        <v>20.358667709324017</v>
      </c>
    </row>
    <row r="512" spans="7:10" x14ac:dyDescent="0.2">
      <c r="G512" s="82">
        <v>507</v>
      </c>
      <c r="H512" s="83">
        <v>-1.464035</v>
      </c>
      <c r="I512" s="84">
        <f t="shared" si="14"/>
        <v>37.67340027801044</v>
      </c>
      <c r="J512" s="85">
        <f t="shared" si="15"/>
        <v>14.906461222810059</v>
      </c>
    </row>
    <row r="513" spans="7:10" x14ac:dyDescent="0.2">
      <c r="G513" s="82">
        <v>508</v>
      </c>
      <c r="H513" s="83">
        <v>-1.439389</v>
      </c>
      <c r="I513" s="84">
        <f t="shared" si="14"/>
        <v>37.870880363323941</v>
      </c>
      <c r="J513" s="85">
        <f t="shared" si="15"/>
        <v>14.708981137496558</v>
      </c>
    </row>
    <row r="514" spans="7:10" x14ac:dyDescent="0.2">
      <c r="G514" s="82">
        <v>509</v>
      </c>
      <c r="H514" s="83">
        <v>-0.10378800000000001</v>
      </c>
      <c r="I514" s="84">
        <f t="shared" si="14"/>
        <v>50.274915044758075</v>
      </c>
      <c r="J514" s="85">
        <f t="shared" si="15"/>
        <v>2.3049464560624244</v>
      </c>
    </row>
    <row r="515" spans="7:10" x14ac:dyDescent="0.2">
      <c r="G515" s="82">
        <v>510</v>
      </c>
      <c r="H515" s="83">
        <v>-0.94897100000000001</v>
      </c>
      <c r="I515" s="84">
        <f t="shared" si="14"/>
        <v>42.02294827858303</v>
      </c>
      <c r="J515" s="85">
        <f t="shared" si="15"/>
        <v>10.556913222237469</v>
      </c>
    </row>
    <row r="516" spans="7:10" x14ac:dyDescent="0.2">
      <c r="G516" s="82">
        <v>511</v>
      </c>
      <c r="H516" s="83">
        <v>-0.69178399999999995</v>
      </c>
      <c r="I516" s="84">
        <f t="shared" si="14"/>
        <v>44.37931392018416</v>
      </c>
      <c r="J516" s="85">
        <f t="shared" si="15"/>
        <v>8.2005475806363393</v>
      </c>
    </row>
    <row r="517" spans="7:10" x14ac:dyDescent="0.2">
      <c r="G517" s="82">
        <v>512</v>
      </c>
      <c r="H517" s="83">
        <v>-0.54138799999999998</v>
      </c>
      <c r="I517" s="84">
        <f t="shared" si="14"/>
        <v>45.81801102386175</v>
      </c>
      <c r="J517" s="85">
        <f t="shared" si="15"/>
        <v>6.7618504769587489</v>
      </c>
    </row>
    <row r="518" spans="7:10" x14ac:dyDescent="0.2">
      <c r="G518" s="82">
        <v>513</v>
      </c>
      <c r="H518" s="83">
        <v>1.2871649999999999</v>
      </c>
      <c r="I518" s="84">
        <f t="shared" ref="I518:I581" si="16">$C$8*EXP(($C$11-$C$12^2/2)*$C$14+H518*$C$12*SQRT($C$14))</f>
        <v>67.529999449170646</v>
      </c>
      <c r="J518" s="85">
        <f t="shared" ref="J518:J581" si="17">($C$9*EXP(-$C$10*($C$13-$C$14))-I518)*$C$15/1000000</f>
        <v>-14.950137948350147</v>
      </c>
    </row>
    <row r="519" spans="7:10" x14ac:dyDescent="0.2">
      <c r="G519" s="82">
        <v>514</v>
      </c>
      <c r="H519" s="83">
        <v>-0.93836600000000003</v>
      </c>
      <c r="I519" s="84">
        <f t="shared" si="16"/>
        <v>42.117592052085648</v>
      </c>
      <c r="J519" s="85">
        <f t="shared" si="17"/>
        <v>10.462269448734851</v>
      </c>
    </row>
    <row r="520" spans="7:10" x14ac:dyDescent="0.2">
      <c r="G520" s="82">
        <v>515</v>
      </c>
      <c r="H520" s="83">
        <v>0.73543999999999998</v>
      </c>
      <c r="I520" s="84">
        <f t="shared" si="16"/>
        <v>60.071372009231702</v>
      </c>
      <c r="J520" s="85">
        <f t="shared" si="17"/>
        <v>-7.4915105084112028</v>
      </c>
    </row>
    <row r="521" spans="7:10" x14ac:dyDescent="0.2">
      <c r="G521" s="82">
        <v>516</v>
      </c>
      <c r="H521" s="83">
        <v>-1.237168</v>
      </c>
      <c r="I521" s="84">
        <f t="shared" si="16"/>
        <v>39.530797068797348</v>
      </c>
      <c r="J521" s="85">
        <f t="shared" si="17"/>
        <v>13.049064432023151</v>
      </c>
    </row>
    <row r="522" spans="7:10" x14ac:dyDescent="0.2">
      <c r="G522" s="82">
        <v>517</v>
      </c>
      <c r="H522" s="83">
        <v>-0.84026100000000004</v>
      </c>
      <c r="I522" s="84">
        <f t="shared" si="16"/>
        <v>43.003294546031334</v>
      </c>
      <c r="J522" s="85">
        <f t="shared" si="17"/>
        <v>9.5765669547891648</v>
      </c>
    </row>
    <row r="523" spans="7:10" x14ac:dyDescent="0.2">
      <c r="G523" s="82">
        <v>518</v>
      </c>
      <c r="H523" s="83">
        <v>-0.25311499999999998</v>
      </c>
      <c r="I523" s="84">
        <f t="shared" si="16"/>
        <v>48.707314094261932</v>
      </c>
      <c r="J523" s="85">
        <f t="shared" si="17"/>
        <v>3.8725474065585672</v>
      </c>
    </row>
    <row r="524" spans="7:10" x14ac:dyDescent="0.2">
      <c r="G524" s="82">
        <v>519</v>
      </c>
      <c r="H524" s="83">
        <v>-1.1057429999999999</v>
      </c>
      <c r="I524" s="84">
        <f t="shared" si="16"/>
        <v>40.648400753528016</v>
      </c>
      <c r="J524" s="85">
        <f t="shared" si="17"/>
        <v>11.931460747292483</v>
      </c>
    </row>
    <row r="525" spans="7:10" x14ac:dyDescent="0.2">
      <c r="G525" s="82">
        <v>520</v>
      </c>
      <c r="H525" s="83">
        <v>-0.78973599999999999</v>
      </c>
      <c r="I525" s="84">
        <f t="shared" si="16"/>
        <v>43.466681459226123</v>
      </c>
      <c r="J525" s="85">
        <f t="shared" si="17"/>
        <v>9.1131800415943758</v>
      </c>
    </row>
    <row r="526" spans="7:10" x14ac:dyDescent="0.2">
      <c r="G526" s="82">
        <v>521</v>
      </c>
      <c r="H526" s="83">
        <v>1.3302290000000001</v>
      </c>
      <c r="I526" s="84">
        <f t="shared" si="16"/>
        <v>68.149729527832463</v>
      </c>
      <c r="J526" s="85">
        <f t="shared" si="17"/>
        <v>-15.569868027011964</v>
      </c>
    </row>
    <row r="527" spans="7:10" x14ac:dyDescent="0.2">
      <c r="G527" s="82">
        <v>522</v>
      </c>
      <c r="H527" s="83">
        <v>-0.64763800000000005</v>
      </c>
      <c r="I527" s="84">
        <f t="shared" si="16"/>
        <v>44.796868568881351</v>
      </c>
      <c r="J527" s="85">
        <f t="shared" si="17"/>
        <v>7.7829929319391482</v>
      </c>
    </row>
    <row r="528" spans="7:10" x14ac:dyDescent="0.2">
      <c r="G528" s="82">
        <v>523</v>
      </c>
      <c r="H528" s="83">
        <v>0.272088</v>
      </c>
      <c r="I528" s="84">
        <f t="shared" si="16"/>
        <v>54.447753276712632</v>
      </c>
      <c r="J528" s="85">
        <f t="shared" si="17"/>
        <v>-1.867891775892133</v>
      </c>
    </row>
    <row r="529" spans="7:10" x14ac:dyDescent="0.2">
      <c r="G529" s="82">
        <v>524</v>
      </c>
      <c r="H529" s="83">
        <v>1.0060709999999999</v>
      </c>
      <c r="I529" s="84">
        <f t="shared" si="16"/>
        <v>63.6209547552834</v>
      </c>
      <c r="J529" s="85">
        <f t="shared" si="17"/>
        <v>-11.041093254462902</v>
      </c>
    </row>
    <row r="530" spans="7:10" x14ac:dyDescent="0.2">
      <c r="G530" s="82">
        <v>525</v>
      </c>
      <c r="H530" s="83">
        <v>0.96842200000000001</v>
      </c>
      <c r="I530" s="84">
        <f t="shared" si="16"/>
        <v>63.114865893289029</v>
      </c>
      <c r="J530" s="85">
        <f t="shared" si="17"/>
        <v>-10.535004392468529</v>
      </c>
    </row>
    <row r="531" spans="7:10" x14ac:dyDescent="0.2">
      <c r="G531" s="82">
        <v>526</v>
      </c>
      <c r="H531" s="83">
        <v>2.311455</v>
      </c>
      <c r="I531" s="84">
        <f t="shared" si="16"/>
        <v>83.91938678305452</v>
      </c>
      <c r="J531" s="85">
        <f t="shared" si="17"/>
        <v>-31.339525282234021</v>
      </c>
    </row>
    <row r="532" spans="7:10" x14ac:dyDescent="0.2">
      <c r="G532" s="82">
        <v>527</v>
      </c>
      <c r="H532" s="83">
        <v>1.0814490000000001</v>
      </c>
      <c r="I532" s="84">
        <f t="shared" si="16"/>
        <v>64.646436372511786</v>
      </c>
      <c r="J532" s="85">
        <f t="shared" si="17"/>
        <v>-12.066574871691287</v>
      </c>
    </row>
    <row r="533" spans="7:10" x14ac:dyDescent="0.2">
      <c r="G533" s="82">
        <v>528</v>
      </c>
      <c r="H533" s="83">
        <v>1.9969460000000001</v>
      </c>
      <c r="I533" s="84">
        <f t="shared" si="16"/>
        <v>78.503187017017922</v>
      </c>
      <c r="J533" s="85">
        <f t="shared" si="17"/>
        <v>-25.923325516197423</v>
      </c>
    </row>
    <row r="534" spans="7:10" x14ac:dyDescent="0.2">
      <c r="G534" s="82">
        <v>529</v>
      </c>
      <c r="H534" s="83">
        <v>-0.27968300000000001</v>
      </c>
      <c r="I534" s="84">
        <f t="shared" si="16"/>
        <v>48.433575488750783</v>
      </c>
      <c r="J534" s="85">
        <f t="shared" si="17"/>
        <v>4.1462860120697158</v>
      </c>
    </row>
    <row r="535" spans="7:10" x14ac:dyDescent="0.2">
      <c r="G535" s="82">
        <v>530</v>
      </c>
      <c r="H535" s="83">
        <v>-0.83660800000000002</v>
      </c>
      <c r="I535" s="84">
        <f t="shared" si="16"/>
        <v>43.036631501900729</v>
      </c>
      <c r="J535" s="85">
        <f t="shared" si="17"/>
        <v>9.5432299989197702</v>
      </c>
    </row>
    <row r="536" spans="7:10" x14ac:dyDescent="0.2">
      <c r="G536" s="82">
        <v>531</v>
      </c>
      <c r="H536" s="83">
        <v>-3.0868E-2</v>
      </c>
      <c r="I536" s="84">
        <f t="shared" si="16"/>
        <v>51.058647028938033</v>
      </c>
      <c r="J536" s="85">
        <f t="shared" si="17"/>
        <v>1.5212144718824661</v>
      </c>
    </row>
    <row r="537" spans="7:10" x14ac:dyDescent="0.2">
      <c r="G537" s="82">
        <v>532</v>
      </c>
      <c r="H537" s="83">
        <v>-0.22636500000000001</v>
      </c>
      <c r="I537" s="84">
        <f t="shared" si="16"/>
        <v>48.984490983567639</v>
      </c>
      <c r="J537" s="85">
        <f t="shared" si="17"/>
        <v>3.5953705172528601</v>
      </c>
    </row>
    <row r="538" spans="7:10" x14ac:dyDescent="0.2">
      <c r="G538" s="82">
        <v>533</v>
      </c>
      <c r="H538" s="83">
        <v>-1.72879</v>
      </c>
      <c r="I538" s="84">
        <f t="shared" si="16"/>
        <v>35.615867888418805</v>
      </c>
      <c r="J538" s="85">
        <f t="shared" si="17"/>
        <v>16.963993612401694</v>
      </c>
    </row>
    <row r="539" spans="7:10" x14ac:dyDescent="0.2">
      <c r="G539" s="82">
        <v>534</v>
      </c>
      <c r="H539" s="83">
        <v>2.2382390000000001</v>
      </c>
      <c r="I539" s="84">
        <f t="shared" si="16"/>
        <v>82.626065844682444</v>
      </c>
      <c r="J539" s="85">
        <f t="shared" si="17"/>
        <v>-30.046204343861945</v>
      </c>
    </row>
    <row r="540" spans="7:10" x14ac:dyDescent="0.2">
      <c r="G540" s="82">
        <v>535</v>
      </c>
      <c r="H540" s="83">
        <v>-1.9062779999999999</v>
      </c>
      <c r="I540" s="84">
        <f t="shared" si="16"/>
        <v>34.299829223065537</v>
      </c>
      <c r="J540" s="85">
        <f t="shared" si="17"/>
        <v>18.280032277754962</v>
      </c>
    </row>
    <row r="541" spans="7:10" x14ac:dyDescent="0.2">
      <c r="G541" s="82">
        <v>536</v>
      </c>
      <c r="H541" s="83">
        <v>-0.32274199999999997</v>
      </c>
      <c r="I541" s="84">
        <f t="shared" si="16"/>
        <v>47.993188202815958</v>
      </c>
      <c r="J541" s="85">
        <f t="shared" si="17"/>
        <v>4.5866732980045413</v>
      </c>
    </row>
    <row r="542" spans="7:10" x14ac:dyDescent="0.2">
      <c r="G542" s="82">
        <v>537</v>
      </c>
      <c r="H542" s="83">
        <v>0.54201200000000005</v>
      </c>
      <c r="I542" s="84">
        <f t="shared" si="16"/>
        <v>57.656391832161901</v>
      </c>
      <c r="J542" s="85">
        <f t="shared" si="17"/>
        <v>-5.0765303313414023</v>
      </c>
    </row>
    <row r="543" spans="7:10" x14ac:dyDescent="0.2">
      <c r="G543" s="82">
        <v>538</v>
      </c>
      <c r="H543" s="83">
        <v>-1.061715</v>
      </c>
      <c r="I543" s="84">
        <f t="shared" si="16"/>
        <v>41.029825053286665</v>
      </c>
      <c r="J543" s="85">
        <f t="shared" si="17"/>
        <v>11.550036447533834</v>
      </c>
    </row>
    <row r="544" spans="7:10" x14ac:dyDescent="0.2">
      <c r="G544" s="82">
        <v>539</v>
      </c>
      <c r="H544" s="83">
        <v>-0.201436</v>
      </c>
      <c r="I544" s="84">
        <f t="shared" si="16"/>
        <v>49.244218849206064</v>
      </c>
      <c r="J544" s="85">
        <f t="shared" si="17"/>
        <v>3.3356426516144353</v>
      </c>
    </row>
    <row r="545" spans="7:10" x14ac:dyDescent="0.2">
      <c r="G545" s="82">
        <v>540</v>
      </c>
      <c r="H545" s="83">
        <v>2.580219</v>
      </c>
      <c r="I545" s="84">
        <f t="shared" si="16"/>
        <v>88.842941714858739</v>
      </c>
      <c r="J545" s="85">
        <f t="shared" si="17"/>
        <v>-36.26308021403824</v>
      </c>
    </row>
    <row r="546" spans="7:10" x14ac:dyDescent="0.2">
      <c r="G546" s="82">
        <v>541</v>
      </c>
      <c r="H546" s="83">
        <v>0.17910100000000001</v>
      </c>
      <c r="I546" s="84">
        <f t="shared" si="16"/>
        <v>53.384266350097761</v>
      </c>
      <c r="J546" s="85">
        <f t="shared" si="17"/>
        <v>-0.80440484927726175</v>
      </c>
    </row>
    <row r="547" spans="7:10" x14ac:dyDescent="0.2">
      <c r="G547" s="82">
        <v>542</v>
      </c>
      <c r="H547" s="83">
        <v>0.661103</v>
      </c>
      <c r="I547" s="84">
        <f t="shared" si="16"/>
        <v>59.131520837495444</v>
      </c>
      <c r="J547" s="85">
        <f t="shared" si="17"/>
        <v>-6.5516593366749447</v>
      </c>
    </row>
    <row r="548" spans="7:10" x14ac:dyDescent="0.2">
      <c r="G548" s="82">
        <v>543</v>
      </c>
      <c r="H548" s="83">
        <v>1.2464170000000001</v>
      </c>
      <c r="I548" s="84">
        <f t="shared" si="16"/>
        <v>66.948788695107282</v>
      </c>
      <c r="J548" s="85">
        <f t="shared" si="17"/>
        <v>-14.368927194286783</v>
      </c>
    </row>
    <row r="549" spans="7:10" x14ac:dyDescent="0.2">
      <c r="G549" s="82">
        <v>544</v>
      </c>
      <c r="H549" s="83">
        <v>-0.41576600000000002</v>
      </c>
      <c r="I549" s="84">
        <f t="shared" si="16"/>
        <v>47.055404096963407</v>
      </c>
      <c r="J549" s="85">
        <f t="shared" si="17"/>
        <v>5.5244574038570917</v>
      </c>
    </row>
    <row r="550" spans="7:10" x14ac:dyDescent="0.2">
      <c r="G550" s="82">
        <v>545</v>
      </c>
      <c r="H550" s="83">
        <v>-0.17909</v>
      </c>
      <c r="I550" s="84">
        <f t="shared" si="16"/>
        <v>49.478205485521556</v>
      </c>
      <c r="J550" s="85">
        <f t="shared" si="17"/>
        <v>3.1016560152989427</v>
      </c>
    </row>
    <row r="551" spans="7:10" x14ac:dyDescent="0.2">
      <c r="G551" s="82">
        <v>546</v>
      </c>
      <c r="H551" s="83">
        <v>-0.87363900000000005</v>
      </c>
      <c r="I551" s="84">
        <f t="shared" si="16"/>
        <v>42.699883293837082</v>
      </c>
      <c r="J551" s="85">
        <f t="shared" si="17"/>
        <v>9.8799782069834166</v>
      </c>
    </row>
    <row r="552" spans="7:10" x14ac:dyDescent="0.2">
      <c r="G552" s="82">
        <v>547</v>
      </c>
      <c r="H552" s="83">
        <v>0.178643</v>
      </c>
      <c r="I552" s="84">
        <f t="shared" si="16"/>
        <v>53.379079975082057</v>
      </c>
      <c r="J552" s="85">
        <f t="shared" si="17"/>
        <v>-0.79921847426155779</v>
      </c>
    </row>
    <row r="553" spans="7:10" x14ac:dyDescent="0.2">
      <c r="G553" s="82">
        <v>548</v>
      </c>
      <c r="H553" s="83">
        <v>1.9665820000000001</v>
      </c>
      <c r="I553" s="84">
        <f t="shared" si="16"/>
        <v>77.999159096390116</v>
      </c>
      <c r="J553" s="85">
        <f t="shared" si="17"/>
        <v>-25.419297595569617</v>
      </c>
    </row>
    <row r="554" spans="7:10" x14ac:dyDescent="0.2">
      <c r="G554" s="82">
        <v>549</v>
      </c>
      <c r="H554" s="83">
        <v>1.5124580000000001</v>
      </c>
      <c r="I554" s="84">
        <f t="shared" si="16"/>
        <v>70.835748660118583</v>
      </c>
      <c r="J554" s="85">
        <f t="shared" si="17"/>
        <v>-18.255887159298084</v>
      </c>
    </row>
    <row r="555" spans="7:10" x14ac:dyDescent="0.2">
      <c r="G555" s="82">
        <v>550</v>
      </c>
      <c r="H555" s="83">
        <v>7.1596000000000007E-2</v>
      </c>
      <c r="I555" s="84">
        <f t="shared" si="16"/>
        <v>52.180601683290483</v>
      </c>
      <c r="J555" s="85">
        <f t="shared" si="17"/>
        <v>0.39925981753001594</v>
      </c>
    </row>
    <row r="556" spans="7:10" x14ac:dyDescent="0.2">
      <c r="G556" s="82">
        <v>551</v>
      </c>
      <c r="H556" s="83">
        <v>-1.74685</v>
      </c>
      <c r="I556" s="84">
        <f t="shared" si="16"/>
        <v>35.479680815268111</v>
      </c>
      <c r="J556" s="85">
        <f t="shared" si="17"/>
        <v>17.100180685552388</v>
      </c>
    </row>
    <row r="557" spans="7:10" x14ac:dyDescent="0.2">
      <c r="G557" s="82">
        <v>552</v>
      </c>
      <c r="H557" s="83">
        <v>-1.8508640000000001</v>
      </c>
      <c r="I557" s="84">
        <f t="shared" si="16"/>
        <v>34.705405738539987</v>
      </c>
      <c r="J557" s="85">
        <f t="shared" si="17"/>
        <v>17.874455762280512</v>
      </c>
    </row>
    <row r="558" spans="7:10" x14ac:dyDescent="0.2">
      <c r="G558" s="82">
        <v>553</v>
      </c>
      <c r="H558" s="83">
        <v>-0.51229100000000005</v>
      </c>
      <c r="I558" s="84">
        <f t="shared" si="16"/>
        <v>46.101692980438578</v>
      </c>
      <c r="J558" s="85">
        <f t="shared" si="17"/>
        <v>6.4781685203819208</v>
      </c>
    </row>
    <row r="559" spans="7:10" x14ac:dyDescent="0.2">
      <c r="G559" s="82">
        <v>554</v>
      </c>
      <c r="H559" s="83">
        <v>1.391883</v>
      </c>
      <c r="I559" s="84">
        <f t="shared" si="16"/>
        <v>69.046899582940085</v>
      </c>
      <c r="J559" s="85">
        <f t="shared" si="17"/>
        <v>-16.467038082119586</v>
      </c>
    </row>
    <row r="560" spans="7:10" x14ac:dyDescent="0.2">
      <c r="G560" s="82">
        <v>555</v>
      </c>
      <c r="H560" s="83">
        <v>1.560546</v>
      </c>
      <c r="I560" s="84">
        <f t="shared" si="16"/>
        <v>71.562042671690634</v>
      </c>
      <c r="J560" s="85">
        <f t="shared" si="17"/>
        <v>-18.982181170870138</v>
      </c>
    </row>
    <row r="561" spans="7:10" x14ac:dyDescent="0.2">
      <c r="G561" s="82">
        <v>556</v>
      </c>
      <c r="H561" s="83">
        <v>0.62203699999999995</v>
      </c>
      <c r="I561" s="84">
        <f t="shared" si="16"/>
        <v>58.643513937484038</v>
      </c>
      <c r="J561" s="85">
        <f t="shared" si="17"/>
        <v>-6.0636524366635385</v>
      </c>
    </row>
    <row r="562" spans="7:10" x14ac:dyDescent="0.2">
      <c r="G562" s="82">
        <v>557</v>
      </c>
      <c r="H562" s="83">
        <v>-8.1506999999999996E-2</v>
      </c>
      <c r="I562" s="84">
        <f t="shared" si="16"/>
        <v>50.513102582325196</v>
      </c>
      <c r="J562" s="85">
        <f t="shared" si="17"/>
        <v>2.066758918495303</v>
      </c>
    </row>
    <row r="563" spans="7:10" x14ac:dyDescent="0.2">
      <c r="G563" s="82">
        <v>558</v>
      </c>
      <c r="H563" s="83">
        <v>0.28895599999999999</v>
      </c>
      <c r="I563" s="84">
        <f t="shared" si="16"/>
        <v>54.642929563063461</v>
      </c>
      <c r="J563" s="85">
        <f t="shared" si="17"/>
        <v>-2.0630680622429622</v>
      </c>
    </row>
    <row r="564" spans="7:10" x14ac:dyDescent="0.2">
      <c r="G564" s="82">
        <v>559</v>
      </c>
      <c r="H564" s="83">
        <v>-0.731375</v>
      </c>
      <c r="I564" s="84">
        <f t="shared" si="16"/>
        <v>44.00815417032328</v>
      </c>
      <c r="J564" s="85">
        <f t="shared" si="17"/>
        <v>8.5717073304972189</v>
      </c>
    </row>
    <row r="565" spans="7:10" x14ac:dyDescent="0.2">
      <c r="G565" s="82">
        <v>560</v>
      </c>
      <c r="H565" s="83">
        <v>-0.72474099999999997</v>
      </c>
      <c r="I565" s="84">
        <f t="shared" si="16"/>
        <v>44.070129736236659</v>
      </c>
      <c r="J565" s="85">
        <f t="shared" si="17"/>
        <v>8.5097317645838402</v>
      </c>
    </row>
    <row r="566" spans="7:10" x14ac:dyDescent="0.2">
      <c r="G566" s="82">
        <v>561</v>
      </c>
      <c r="H566" s="83">
        <v>-0.92241499999999998</v>
      </c>
      <c r="I566" s="84">
        <f t="shared" si="16"/>
        <v>42.260347495679525</v>
      </c>
      <c r="J566" s="85">
        <f t="shared" si="17"/>
        <v>10.319514005140974</v>
      </c>
    </row>
    <row r="567" spans="7:10" x14ac:dyDescent="0.2">
      <c r="G567" s="82">
        <v>562</v>
      </c>
      <c r="H567" s="83">
        <v>0.48415799999999998</v>
      </c>
      <c r="I567" s="84">
        <f t="shared" si="16"/>
        <v>56.953117358871644</v>
      </c>
      <c r="J567" s="85">
        <f t="shared" si="17"/>
        <v>-4.3732558580511451</v>
      </c>
    </row>
    <row r="568" spans="7:10" x14ac:dyDescent="0.2">
      <c r="G568" s="82">
        <v>563</v>
      </c>
      <c r="H568" s="83">
        <v>1.593801</v>
      </c>
      <c r="I568" s="84">
        <f t="shared" si="16"/>
        <v>72.068658428021749</v>
      </c>
      <c r="J568" s="85">
        <f t="shared" si="17"/>
        <v>-19.48879692720125</v>
      </c>
    </row>
    <row r="569" spans="7:10" x14ac:dyDescent="0.2">
      <c r="G569" s="82">
        <v>564</v>
      </c>
      <c r="H569" s="83">
        <v>-0.33826800000000001</v>
      </c>
      <c r="I569" s="84">
        <f t="shared" si="16"/>
        <v>47.835379682275864</v>
      </c>
      <c r="J569" s="85">
        <f t="shared" si="17"/>
        <v>4.7444818185446351</v>
      </c>
    </row>
    <row r="570" spans="7:10" x14ac:dyDescent="0.2">
      <c r="G570" s="82">
        <v>565</v>
      </c>
      <c r="H570" s="83">
        <v>-8.2608000000000001E-2</v>
      </c>
      <c r="I570" s="84">
        <f t="shared" si="16"/>
        <v>50.501306252557818</v>
      </c>
      <c r="J570" s="85">
        <f t="shared" si="17"/>
        <v>2.0785552482626812</v>
      </c>
    </row>
    <row r="571" spans="7:10" x14ac:dyDescent="0.2">
      <c r="G571" s="82">
        <v>566</v>
      </c>
      <c r="H571" s="83">
        <v>-2.5942829999999999</v>
      </c>
      <c r="I571" s="84">
        <f t="shared" si="16"/>
        <v>29.642005940504273</v>
      </c>
      <c r="J571" s="85">
        <f t="shared" si="17"/>
        <v>22.937855560316226</v>
      </c>
    </row>
    <row r="572" spans="7:10" x14ac:dyDescent="0.2">
      <c r="G572" s="82">
        <v>567</v>
      </c>
      <c r="H572" s="83">
        <v>0.56799100000000002</v>
      </c>
      <c r="I572" s="84">
        <f t="shared" si="16"/>
        <v>57.975012094306841</v>
      </c>
      <c r="J572" s="85">
        <f t="shared" si="17"/>
        <v>-5.395150593486342</v>
      </c>
    </row>
    <row r="573" spans="7:10" x14ac:dyDescent="0.2">
      <c r="G573" s="82">
        <v>568</v>
      </c>
      <c r="H573" s="83">
        <v>-8.0490000000000006E-2</v>
      </c>
      <c r="I573" s="84">
        <f t="shared" si="16"/>
        <v>50.524001367740567</v>
      </c>
      <c r="J573" s="85">
        <f t="shared" si="17"/>
        <v>2.055860133079932</v>
      </c>
    </row>
    <row r="574" spans="7:10" x14ac:dyDescent="0.2">
      <c r="G574" s="82">
        <v>569</v>
      </c>
      <c r="H574" s="83">
        <v>1.2597590000000001</v>
      </c>
      <c r="I574" s="84">
        <f t="shared" si="16"/>
        <v>67.138539945424938</v>
      </c>
      <c r="J574" s="85">
        <f t="shared" si="17"/>
        <v>-14.558678444604439</v>
      </c>
    </row>
    <row r="575" spans="7:10" x14ac:dyDescent="0.2">
      <c r="G575" s="82">
        <v>570</v>
      </c>
      <c r="H575" s="83">
        <v>1.7091970000000001</v>
      </c>
      <c r="I575" s="84">
        <f t="shared" si="16"/>
        <v>73.854610833970881</v>
      </c>
      <c r="J575" s="85">
        <f t="shared" si="17"/>
        <v>-21.274749333150382</v>
      </c>
    </row>
    <row r="576" spans="7:10" x14ac:dyDescent="0.2">
      <c r="G576" s="82">
        <v>571</v>
      </c>
      <c r="H576" s="83">
        <v>-2.0118079999999998</v>
      </c>
      <c r="I576" s="84">
        <f t="shared" si="16"/>
        <v>33.540514013141625</v>
      </c>
      <c r="J576" s="85">
        <f t="shared" si="17"/>
        <v>19.039347487678874</v>
      </c>
    </row>
    <row r="577" spans="7:10" x14ac:dyDescent="0.2">
      <c r="G577" s="82">
        <v>572</v>
      </c>
      <c r="H577" s="83">
        <v>-0.82612099999999999</v>
      </c>
      <c r="I577" s="84">
        <f t="shared" si="16"/>
        <v>43.132478597662285</v>
      </c>
      <c r="J577" s="85">
        <f t="shared" si="17"/>
        <v>9.4473829031582142</v>
      </c>
    </row>
    <row r="578" spans="7:10" x14ac:dyDescent="0.2">
      <c r="G578" s="82">
        <v>573</v>
      </c>
      <c r="H578" s="83">
        <v>1.788532</v>
      </c>
      <c r="I578" s="84">
        <f t="shared" si="16"/>
        <v>75.108064545463719</v>
      </c>
      <c r="J578" s="85">
        <f t="shared" si="17"/>
        <v>-22.52820304464322</v>
      </c>
    </row>
    <row r="579" spans="7:10" x14ac:dyDescent="0.2">
      <c r="G579" s="82">
        <v>574</v>
      </c>
      <c r="H579" s="83">
        <v>1.314865</v>
      </c>
      <c r="I579" s="84">
        <f t="shared" si="16"/>
        <v>67.927977725362197</v>
      </c>
      <c r="J579" s="85">
        <f t="shared" si="17"/>
        <v>-15.348116224541698</v>
      </c>
    </row>
    <row r="580" spans="7:10" x14ac:dyDescent="0.2">
      <c r="G580" s="82">
        <v>575</v>
      </c>
      <c r="H580" s="83">
        <v>-1.1640999999999999</v>
      </c>
      <c r="I580" s="84">
        <f t="shared" si="16"/>
        <v>40.148300239221058</v>
      </c>
      <c r="J580" s="85">
        <f t="shared" si="17"/>
        <v>12.431561261599443</v>
      </c>
    </row>
    <row r="581" spans="7:10" x14ac:dyDescent="0.2">
      <c r="G581" s="82">
        <v>576</v>
      </c>
      <c r="H581" s="83">
        <v>0.724109</v>
      </c>
      <c r="I581" s="84">
        <f t="shared" si="16"/>
        <v>59.927153765565009</v>
      </c>
      <c r="J581" s="85">
        <f t="shared" si="17"/>
        <v>-7.3472922647445102</v>
      </c>
    </row>
    <row r="582" spans="7:10" x14ac:dyDescent="0.2">
      <c r="G582" s="82">
        <v>577</v>
      </c>
      <c r="H582" s="83">
        <v>0.57791999999999999</v>
      </c>
      <c r="I582" s="84">
        <f t="shared" ref="I582:I645" si="18">$C$8*EXP(($C$11-$C$12^2/2)*$C$14+H582*$C$12*SQRT($C$14))</f>
        <v>58.097251171901085</v>
      </c>
      <c r="J582" s="85">
        <f t="shared" ref="J582:J645" si="19">($C$9*EXP(-$C$10*($C$13-$C$14))-I582)*$C$15/1000000</f>
        <v>-5.5173896710805863</v>
      </c>
    </row>
    <row r="583" spans="7:10" x14ac:dyDescent="0.2">
      <c r="G583" s="82">
        <v>578</v>
      </c>
      <c r="H583" s="83">
        <v>0.41751100000000002</v>
      </c>
      <c r="I583" s="84">
        <f t="shared" si="18"/>
        <v>56.153581475744119</v>
      </c>
      <c r="J583" s="85">
        <f t="shared" si="19"/>
        <v>-3.5737199749236197</v>
      </c>
    </row>
    <row r="584" spans="7:10" x14ac:dyDescent="0.2">
      <c r="G584" s="82">
        <v>579</v>
      </c>
      <c r="H584" s="83">
        <v>-0.97297500000000003</v>
      </c>
      <c r="I584" s="84">
        <f t="shared" si="18"/>
        <v>41.809510572169003</v>
      </c>
      <c r="J584" s="85">
        <f t="shared" si="19"/>
        <v>10.770350928651496</v>
      </c>
    </row>
    <row r="585" spans="7:10" x14ac:dyDescent="0.2">
      <c r="G585" s="82">
        <v>580</v>
      </c>
      <c r="H585" s="83">
        <v>-0.67785200000000001</v>
      </c>
      <c r="I585" s="84">
        <f t="shared" si="18"/>
        <v>44.510667594834494</v>
      </c>
      <c r="J585" s="85">
        <f t="shared" si="19"/>
        <v>8.0691939059860047</v>
      </c>
    </row>
    <row r="586" spans="7:10" x14ac:dyDescent="0.2">
      <c r="G586" s="82">
        <v>581</v>
      </c>
      <c r="H586" s="83">
        <v>-0.14130300000000001</v>
      </c>
      <c r="I586" s="84">
        <f t="shared" si="18"/>
        <v>49.876408358589018</v>
      </c>
      <c r="J586" s="85">
        <f t="shared" si="19"/>
        <v>2.7034531422314814</v>
      </c>
    </row>
    <row r="587" spans="7:10" x14ac:dyDescent="0.2">
      <c r="G587" s="82">
        <v>582</v>
      </c>
      <c r="H587" s="83">
        <v>1.825445</v>
      </c>
      <c r="I587" s="84">
        <f t="shared" si="18"/>
        <v>75.698501642311697</v>
      </c>
      <c r="J587" s="85">
        <f t="shared" si="19"/>
        <v>-23.118640141491198</v>
      </c>
    </row>
    <row r="588" spans="7:10" x14ac:dyDescent="0.2">
      <c r="G588" s="82">
        <v>583</v>
      </c>
      <c r="H588" s="83">
        <v>-1.795952</v>
      </c>
      <c r="I588" s="84">
        <f t="shared" si="18"/>
        <v>35.112038682088347</v>
      </c>
      <c r="J588" s="85">
        <f t="shared" si="19"/>
        <v>17.467822818732152</v>
      </c>
    </row>
    <row r="589" spans="7:10" x14ac:dyDescent="0.2">
      <c r="G589" s="82">
        <v>584</v>
      </c>
      <c r="H589" s="83">
        <v>-2.2396060000000002</v>
      </c>
      <c r="I589" s="84">
        <f t="shared" si="18"/>
        <v>31.958264861815017</v>
      </c>
      <c r="J589" s="85">
        <f t="shared" si="19"/>
        <v>20.621596639005482</v>
      </c>
    </row>
    <row r="590" spans="7:10" x14ac:dyDescent="0.2">
      <c r="G590" s="82">
        <v>585</v>
      </c>
      <c r="H590" s="83">
        <v>-0.66187399999999996</v>
      </c>
      <c r="I590" s="84">
        <f t="shared" si="18"/>
        <v>44.66179004926083</v>
      </c>
      <c r="J590" s="85">
        <f t="shared" si="19"/>
        <v>7.9180714515596691</v>
      </c>
    </row>
    <row r="591" spans="7:10" x14ac:dyDescent="0.2">
      <c r="G591" s="82">
        <v>586</v>
      </c>
      <c r="H591" s="83">
        <v>-0.83636500000000003</v>
      </c>
      <c r="I591" s="84">
        <f t="shared" si="18"/>
        <v>43.03885001499102</v>
      </c>
      <c r="J591" s="85">
        <f t="shared" si="19"/>
        <v>9.541011485829479</v>
      </c>
    </row>
    <row r="592" spans="7:10" x14ac:dyDescent="0.2">
      <c r="G592" s="82">
        <v>587</v>
      </c>
      <c r="H592" s="83">
        <v>-0.56767500000000004</v>
      </c>
      <c r="I592" s="84">
        <f t="shared" si="18"/>
        <v>45.563226411290856</v>
      </c>
      <c r="J592" s="85">
        <f t="shared" si="19"/>
        <v>7.0166350895296432</v>
      </c>
    </row>
    <row r="593" spans="7:10" x14ac:dyDescent="0.2">
      <c r="G593" s="82">
        <v>588</v>
      </c>
      <c r="H593" s="83">
        <v>0.72223300000000001</v>
      </c>
      <c r="I593" s="84">
        <f t="shared" si="18"/>
        <v>59.903309918403011</v>
      </c>
      <c r="J593" s="85">
        <f t="shared" si="19"/>
        <v>-7.3234484175825116</v>
      </c>
    </row>
    <row r="594" spans="7:10" x14ac:dyDescent="0.2">
      <c r="G594" s="82">
        <v>589</v>
      </c>
      <c r="H594" s="83">
        <v>-0.40914699999999998</v>
      </c>
      <c r="I594" s="84">
        <f t="shared" si="18"/>
        <v>47.121521087561824</v>
      </c>
      <c r="J594" s="85">
        <f t="shared" si="19"/>
        <v>5.4583404132586759</v>
      </c>
    </row>
    <row r="595" spans="7:10" x14ac:dyDescent="0.2">
      <c r="G595" s="82">
        <v>590</v>
      </c>
      <c r="H595" s="83">
        <v>1.1810020000000001</v>
      </c>
      <c r="I595" s="84">
        <f t="shared" si="18"/>
        <v>66.026182127689751</v>
      </c>
      <c r="J595" s="85">
        <f t="shared" si="19"/>
        <v>-13.446320626869252</v>
      </c>
    </row>
    <row r="596" spans="7:10" x14ac:dyDescent="0.2">
      <c r="G596" s="82">
        <v>591</v>
      </c>
      <c r="H596" s="83">
        <v>0.29879</v>
      </c>
      <c r="I596" s="84">
        <f t="shared" si="18"/>
        <v>54.757039510917984</v>
      </c>
      <c r="J596" s="85">
        <f t="shared" si="19"/>
        <v>-2.1771780100974851</v>
      </c>
    </row>
    <row r="597" spans="7:10" x14ac:dyDescent="0.2">
      <c r="G597" s="82">
        <v>592</v>
      </c>
      <c r="H597" s="83">
        <v>0.19305800000000001</v>
      </c>
      <c r="I597" s="84">
        <f t="shared" si="18"/>
        <v>53.542556790110382</v>
      </c>
      <c r="J597" s="85">
        <f t="shared" si="19"/>
        <v>-0.96269528928988279</v>
      </c>
    </row>
    <row r="598" spans="7:10" x14ac:dyDescent="0.2">
      <c r="G598" s="82">
        <v>593</v>
      </c>
      <c r="H598" s="83">
        <v>0.60815200000000003</v>
      </c>
      <c r="I598" s="84">
        <f t="shared" si="18"/>
        <v>58.471036343053797</v>
      </c>
      <c r="J598" s="85">
        <f t="shared" si="19"/>
        <v>-5.8911748422332977</v>
      </c>
    </row>
    <row r="599" spans="7:10" x14ac:dyDescent="0.2">
      <c r="G599" s="82">
        <v>594</v>
      </c>
      <c r="H599" s="83">
        <v>-1.4593309999999999</v>
      </c>
      <c r="I599" s="84">
        <f t="shared" si="18"/>
        <v>37.711012162395825</v>
      </c>
      <c r="J599" s="85">
        <f t="shared" si="19"/>
        <v>14.868849338424674</v>
      </c>
    </row>
    <row r="600" spans="7:10" x14ac:dyDescent="0.2">
      <c r="G600" s="82">
        <v>595</v>
      </c>
      <c r="H600" s="83">
        <v>0.27251500000000001</v>
      </c>
      <c r="I600" s="84">
        <f t="shared" si="18"/>
        <v>54.452685398195513</v>
      </c>
      <c r="J600" s="85">
        <f t="shared" si="19"/>
        <v>-1.8728238973750138</v>
      </c>
    </row>
    <row r="601" spans="7:10" x14ac:dyDescent="0.2">
      <c r="G601" s="82">
        <v>596</v>
      </c>
      <c r="H601" s="83">
        <v>-2.1105209999999999</v>
      </c>
      <c r="I601" s="84">
        <f t="shared" si="18"/>
        <v>32.845471848179756</v>
      </c>
      <c r="J601" s="85">
        <f t="shared" si="19"/>
        <v>19.734389652640743</v>
      </c>
    </row>
    <row r="602" spans="7:10" x14ac:dyDescent="0.2">
      <c r="G602" s="82">
        <v>597</v>
      </c>
      <c r="H602" s="83">
        <v>1.4119740000000001</v>
      </c>
      <c r="I602" s="84">
        <f t="shared" si="18"/>
        <v>69.341801632550585</v>
      </c>
      <c r="J602" s="85">
        <f t="shared" si="19"/>
        <v>-16.761940131730086</v>
      </c>
    </row>
    <row r="603" spans="7:10" x14ac:dyDescent="0.2">
      <c r="G603" s="82">
        <v>598</v>
      </c>
      <c r="H603" s="83">
        <v>0.43818000000000001</v>
      </c>
      <c r="I603" s="84">
        <f t="shared" si="18"/>
        <v>56.400330603005088</v>
      </c>
      <c r="J603" s="85">
        <f t="shared" si="19"/>
        <v>-3.8204691021845889</v>
      </c>
    </row>
    <row r="604" spans="7:10" x14ac:dyDescent="0.2">
      <c r="G604" s="82">
        <v>599</v>
      </c>
      <c r="H604" s="83">
        <v>1.9355880000000001</v>
      </c>
      <c r="I604" s="84">
        <f t="shared" si="18"/>
        <v>77.488010839197699</v>
      </c>
      <c r="J604" s="85">
        <f t="shared" si="19"/>
        <v>-24.9081493383772</v>
      </c>
    </row>
    <row r="605" spans="7:10" x14ac:dyDescent="0.2">
      <c r="G605" s="82">
        <v>600</v>
      </c>
      <c r="H605" s="83">
        <v>-1.5431189999999999</v>
      </c>
      <c r="I605" s="84">
        <f t="shared" si="18"/>
        <v>37.046653830782034</v>
      </c>
      <c r="J605" s="85">
        <f t="shared" si="19"/>
        <v>15.533207670038465</v>
      </c>
    </row>
    <row r="606" spans="7:10" x14ac:dyDescent="0.2">
      <c r="G606" s="82">
        <v>601</v>
      </c>
      <c r="H606" s="83">
        <v>1.1136079999999999</v>
      </c>
      <c r="I606" s="84">
        <f t="shared" si="18"/>
        <v>65.08895911240532</v>
      </c>
      <c r="J606" s="85">
        <f t="shared" si="19"/>
        <v>-12.509097611584821</v>
      </c>
    </row>
    <row r="607" spans="7:10" x14ac:dyDescent="0.2">
      <c r="G607" s="82">
        <v>602</v>
      </c>
      <c r="H607" s="83">
        <v>-1.202439</v>
      </c>
      <c r="I607" s="84">
        <f t="shared" si="18"/>
        <v>39.823101124479109</v>
      </c>
      <c r="J607" s="85">
        <f t="shared" si="19"/>
        <v>12.75676037634139</v>
      </c>
    </row>
    <row r="608" spans="7:10" x14ac:dyDescent="0.2">
      <c r="G608" s="82">
        <v>603</v>
      </c>
      <c r="H608" s="83">
        <v>-0.27043099999999998</v>
      </c>
      <c r="I608" s="84">
        <f t="shared" si="18"/>
        <v>48.528726775280205</v>
      </c>
      <c r="J608" s="85">
        <f t="shared" si="19"/>
        <v>4.0511347255402939</v>
      </c>
    </row>
    <row r="609" spans="7:10" x14ac:dyDescent="0.2">
      <c r="G609" s="82">
        <v>604</v>
      </c>
      <c r="H609" s="83">
        <v>-0.49978400000000001</v>
      </c>
      <c r="I609" s="84">
        <f t="shared" si="18"/>
        <v>46.224169413383137</v>
      </c>
      <c r="J609" s="85">
        <f t="shared" si="19"/>
        <v>6.3556920874373617</v>
      </c>
    </row>
    <row r="610" spans="7:10" x14ac:dyDescent="0.2">
      <c r="G610" s="82">
        <v>605</v>
      </c>
      <c r="H610" s="83">
        <v>-0.128357</v>
      </c>
      <c r="I610" s="84">
        <f t="shared" si="18"/>
        <v>50.013570264496231</v>
      </c>
      <c r="J610" s="85">
        <f t="shared" si="19"/>
        <v>2.5662912363242683</v>
      </c>
    </row>
    <row r="611" spans="7:10" x14ac:dyDescent="0.2">
      <c r="G611" s="82">
        <v>606</v>
      </c>
      <c r="H611" s="83">
        <v>-0.62801300000000004</v>
      </c>
      <c r="I611" s="84">
        <f t="shared" si="18"/>
        <v>44.98375075092558</v>
      </c>
      <c r="J611" s="85">
        <f t="shared" si="19"/>
        <v>7.596110749894919</v>
      </c>
    </row>
    <row r="612" spans="7:10" x14ac:dyDescent="0.2">
      <c r="G612" s="82">
        <v>607</v>
      </c>
      <c r="H612" s="83">
        <v>0.262044</v>
      </c>
      <c r="I612" s="84">
        <f t="shared" si="18"/>
        <v>54.331867445222727</v>
      </c>
      <c r="J612" s="85">
        <f t="shared" si="19"/>
        <v>-1.752005944402228</v>
      </c>
    </row>
    <row r="613" spans="7:10" x14ac:dyDescent="0.2">
      <c r="G613" s="82">
        <v>608</v>
      </c>
      <c r="H613" s="83">
        <v>1.2791490000000001</v>
      </c>
      <c r="I613" s="84">
        <f t="shared" si="18"/>
        <v>67.415265612691073</v>
      </c>
      <c r="J613" s="85">
        <f t="shared" si="19"/>
        <v>-14.835404111870574</v>
      </c>
    </row>
    <row r="614" spans="7:10" x14ac:dyDescent="0.2">
      <c r="G614" s="82">
        <v>609</v>
      </c>
      <c r="H614" s="83">
        <v>-0.318108</v>
      </c>
      <c r="I614" s="84">
        <f t="shared" si="18"/>
        <v>48.040389655531406</v>
      </c>
      <c r="J614" s="85">
        <f t="shared" si="19"/>
        <v>4.5394718452890928</v>
      </c>
    </row>
    <row r="615" spans="7:10" x14ac:dyDescent="0.2">
      <c r="G615" s="82">
        <v>610</v>
      </c>
      <c r="H615" s="83">
        <v>7.3960999999999999E-2</v>
      </c>
      <c r="I615" s="84">
        <f t="shared" si="18"/>
        <v>52.206786855242292</v>
      </c>
      <c r="J615" s="85">
        <f t="shared" si="19"/>
        <v>0.3730746455782068</v>
      </c>
    </row>
    <row r="616" spans="7:10" x14ac:dyDescent="0.2">
      <c r="G616" s="82">
        <v>611</v>
      </c>
      <c r="H616" s="83">
        <v>0.861128</v>
      </c>
      <c r="I616" s="84">
        <f t="shared" si="18"/>
        <v>61.694565024546996</v>
      </c>
      <c r="J616" s="85">
        <f t="shared" si="19"/>
        <v>-9.1147035237264973</v>
      </c>
    </row>
    <row r="617" spans="7:10" x14ac:dyDescent="0.2">
      <c r="G617" s="82">
        <v>612</v>
      </c>
      <c r="H617" s="83">
        <v>-0.52187499999999998</v>
      </c>
      <c r="I617" s="84">
        <f t="shared" si="18"/>
        <v>46.008060067493922</v>
      </c>
      <c r="J617" s="85">
        <f t="shared" si="19"/>
        <v>6.5718014333265771</v>
      </c>
    </row>
    <row r="618" spans="7:10" x14ac:dyDescent="0.2">
      <c r="G618" s="82">
        <v>613</v>
      </c>
      <c r="H618" s="83">
        <v>1.5373680000000001</v>
      </c>
      <c r="I618" s="84">
        <f t="shared" si="18"/>
        <v>71.211050271777935</v>
      </c>
      <c r="J618" s="85">
        <f t="shared" si="19"/>
        <v>-18.631188770957436</v>
      </c>
    </row>
    <row r="619" spans="7:10" x14ac:dyDescent="0.2">
      <c r="G619" s="82">
        <v>614</v>
      </c>
      <c r="H619" s="83">
        <v>5.0087E-2</v>
      </c>
      <c r="I619" s="84">
        <f t="shared" si="18"/>
        <v>51.943057091293113</v>
      </c>
      <c r="J619" s="85">
        <f t="shared" si="19"/>
        <v>0.63680440952738593</v>
      </c>
    </row>
    <row r="620" spans="7:10" x14ac:dyDescent="0.2">
      <c r="G620" s="82">
        <v>615</v>
      </c>
      <c r="H620" s="83">
        <v>1.042975</v>
      </c>
      <c r="I620" s="84">
        <f t="shared" si="18"/>
        <v>64.120967335672162</v>
      </c>
      <c r="J620" s="85">
        <f t="shared" si="19"/>
        <v>-11.541105834851663</v>
      </c>
    </row>
    <row r="621" spans="7:10" x14ac:dyDescent="0.2">
      <c r="G621" s="82">
        <v>616</v>
      </c>
      <c r="H621" s="83">
        <v>-0.79366800000000004</v>
      </c>
      <c r="I621" s="84">
        <f t="shared" si="18"/>
        <v>43.430440879198194</v>
      </c>
      <c r="J621" s="85">
        <f t="shared" si="19"/>
        <v>9.1494206216223049</v>
      </c>
    </row>
    <row r="622" spans="7:10" x14ac:dyDescent="0.2">
      <c r="G622" s="82">
        <v>617</v>
      </c>
      <c r="H622" s="83">
        <v>0.76624000000000003</v>
      </c>
      <c r="I622" s="84">
        <f t="shared" si="18"/>
        <v>60.465143314060178</v>
      </c>
      <c r="J622" s="85">
        <f t="shared" si="19"/>
        <v>-7.8852818132396791</v>
      </c>
    </row>
    <row r="623" spans="7:10" x14ac:dyDescent="0.2">
      <c r="G623" s="82">
        <v>618</v>
      </c>
      <c r="H623" s="83">
        <v>1.1835169999999999</v>
      </c>
      <c r="I623" s="84">
        <f t="shared" si="18"/>
        <v>66.061417290910157</v>
      </c>
      <c r="J623" s="85">
        <f t="shared" si="19"/>
        <v>-13.481555790089658</v>
      </c>
    </row>
    <row r="624" spans="7:10" x14ac:dyDescent="0.2">
      <c r="G624" s="82">
        <v>619</v>
      </c>
      <c r="H624" s="83">
        <v>0.51095699999999999</v>
      </c>
      <c r="I624" s="84">
        <f t="shared" si="18"/>
        <v>57.277813701596273</v>
      </c>
      <c r="J624" s="85">
        <f t="shared" si="19"/>
        <v>-4.6979522007757737</v>
      </c>
    </row>
    <row r="625" spans="7:10" x14ac:dyDescent="0.2">
      <c r="G625" s="82">
        <v>620</v>
      </c>
      <c r="H625" s="83">
        <v>-0.21245600000000001</v>
      </c>
      <c r="I625" s="84">
        <f t="shared" si="18"/>
        <v>49.129235334665537</v>
      </c>
      <c r="J625" s="85">
        <f t="shared" si="19"/>
        <v>3.4506261661549615</v>
      </c>
    </row>
    <row r="626" spans="7:10" x14ac:dyDescent="0.2">
      <c r="G626" s="82">
        <v>621</v>
      </c>
      <c r="H626" s="83">
        <v>0.21410000000000001</v>
      </c>
      <c r="I626" s="84">
        <f t="shared" si="18"/>
        <v>53.782087949162772</v>
      </c>
      <c r="J626" s="85">
        <f t="shared" si="19"/>
        <v>-1.2022264483422731</v>
      </c>
    </row>
    <row r="627" spans="7:10" x14ac:dyDescent="0.2">
      <c r="G627" s="82">
        <v>622</v>
      </c>
      <c r="H627" s="83">
        <v>-1.5315E-2</v>
      </c>
      <c r="I627" s="84">
        <f t="shared" si="18"/>
        <v>51.227382489020798</v>
      </c>
      <c r="J627" s="85">
        <f t="shared" si="19"/>
        <v>1.3524790117997014</v>
      </c>
    </row>
    <row r="628" spans="7:10" x14ac:dyDescent="0.2">
      <c r="G628" s="82">
        <v>623</v>
      </c>
      <c r="H628" s="83">
        <v>-1.0248109999999999</v>
      </c>
      <c r="I628" s="84">
        <f t="shared" si="18"/>
        <v>41.35228844253799</v>
      </c>
      <c r="J628" s="85">
        <f t="shared" si="19"/>
        <v>11.227573058282509</v>
      </c>
    </row>
    <row r="629" spans="7:10" x14ac:dyDescent="0.2">
      <c r="G629" s="82">
        <v>624</v>
      </c>
      <c r="H629" s="83">
        <v>1.1493089999999999</v>
      </c>
      <c r="I629" s="84">
        <f t="shared" si="18"/>
        <v>65.583770321284916</v>
      </c>
      <c r="J629" s="85">
        <f t="shared" si="19"/>
        <v>-13.003908820464417</v>
      </c>
    </row>
    <row r="630" spans="7:10" x14ac:dyDescent="0.2">
      <c r="G630" s="82">
        <v>625</v>
      </c>
      <c r="H630" s="83">
        <v>0.81677100000000002</v>
      </c>
      <c r="I630" s="84">
        <f t="shared" si="18"/>
        <v>61.116770162443459</v>
      </c>
      <c r="J630" s="85">
        <f t="shared" si="19"/>
        <v>-8.5369086616229595</v>
      </c>
    </row>
    <row r="631" spans="7:10" x14ac:dyDescent="0.2">
      <c r="G631" s="82">
        <v>626</v>
      </c>
      <c r="H631" s="83">
        <v>0.49535200000000001</v>
      </c>
      <c r="I631" s="84">
        <f t="shared" si="18"/>
        <v>57.088519272120642</v>
      </c>
      <c r="J631" s="85">
        <f t="shared" si="19"/>
        <v>-4.5086577713001432</v>
      </c>
    </row>
    <row r="632" spans="7:10" x14ac:dyDescent="0.2">
      <c r="G632" s="82">
        <v>627</v>
      </c>
      <c r="H632" s="83">
        <v>-1.9200809999999999</v>
      </c>
      <c r="I632" s="84">
        <f t="shared" si="18"/>
        <v>34.199544209423486</v>
      </c>
      <c r="J632" s="85">
        <f t="shared" si="19"/>
        <v>18.380317291397013</v>
      </c>
    </row>
    <row r="633" spans="7:10" x14ac:dyDescent="0.2">
      <c r="G633" s="82">
        <v>628</v>
      </c>
      <c r="H633" s="83">
        <v>5.9369999999999999E-2</v>
      </c>
      <c r="I633" s="84">
        <f t="shared" si="18"/>
        <v>52.045445264597269</v>
      </c>
      <c r="J633" s="85">
        <f t="shared" si="19"/>
        <v>0.53441623622322965</v>
      </c>
    </row>
    <row r="634" spans="7:10" x14ac:dyDescent="0.2">
      <c r="G634" s="82">
        <v>629</v>
      </c>
      <c r="H634" s="83">
        <v>-0.26091999999999999</v>
      </c>
      <c r="I634" s="84">
        <f t="shared" si="18"/>
        <v>48.626736579785607</v>
      </c>
      <c r="J634" s="85">
        <f t="shared" si="19"/>
        <v>3.9531249210348918</v>
      </c>
    </row>
    <row r="635" spans="7:10" x14ac:dyDescent="0.2">
      <c r="G635" s="82">
        <v>630</v>
      </c>
      <c r="H635" s="83">
        <v>0.71212299999999995</v>
      </c>
      <c r="I635" s="84">
        <f t="shared" si="18"/>
        <v>59.774975658754038</v>
      </c>
      <c r="J635" s="85">
        <f t="shared" si="19"/>
        <v>-7.1951141579335385</v>
      </c>
    </row>
    <row r="636" spans="7:10" x14ac:dyDescent="0.2">
      <c r="G636" s="82">
        <v>631</v>
      </c>
      <c r="H636" s="83">
        <v>-0.47973700000000002</v>
      </c>
      <c r="I636" s="84">
        <f t="shared" si="18"/>
        <v>46.421161387968226</v>
      </c>
      <c r="J636" s="85">
        <f t="shared" si="19"/>
        <v>6.1587001128522729</v>
      </c>
    </row>
    <row r="637" spans="7:10" x14ac:dyDescent="0.2">
      <c r="G637" s="82">
        <v>632</v>
      </c>
      <c r="H637" s="83">
        <v>-0.664659</v>
      </c>
      <c r="I637" s="84">
        <f t="shared" si="18"/>
        <v>44.635412204959799</v>
      </c>
      <c r="J637" s="85">
        <f t="shared" si="19"/>
        <v>7.9444492958607</v>
      </c>
    </row>
    <row r="638" spans="7:10" x14ac:dyDescent="0.2">
      <c r="G638" s="82">
        <v>633</v>
      </c>
      <c r="H638" s="83">
        <v>-1.3484419999999999</v>
      </c>
      <c r="I638" s="84">
        <f t="shared" si="18"/>
        <v>38.608608153158336</v>
      </c>
      <c r="J638" s="85">
        <f t="shared" si="19"/>
        <v>13.971253347662165</v>
      </c>
    </row>
    <row r="639" spans="7:10" x14ac:dyDescent="0.2">
      <c r="G639" s="82">
        <v>634</v>
      </c>
      <c r="H639" s="83">
        <v>-0.194574</v>
      </c>
      <c r="I639" s="84">
        <f t="shared" si="18"/>
        <v>49.315953394876303</v>
      </c>
      <c r="J639" s="85">
        <f t="shared" si="19"/>
        <v>3.2639081059441963</v>
      </c>
    </row>
    <row r="640" spans="7:10" x14ac:dyDescent="0.2">
      <c r="G640" s="82">
        <v>635</v>
      </c>
      <c r="H640" s="83">
        <v>-0.79197399999999996</v>
      </c>
      <c r="I640" s="84">
        <f t="shared" si="18"/>
        <v>43.446050484992845</v>
      </c>
      <c r="J640" s="85">
        <f t="shared" si="19"/>
        <v>9.1338110158276535</v>
      </c>
    </row>
    <row r="641" spans="7:10" x14ac:dyDescent="0.2">
      <c r="G641" s="82">
        <v>636</v>
      </c>
      <c r="H641" s="83">
        <v>-0.29664400000000002</v>
      </c>
      <c r="I641" s="84">
        <f t="shared" si="18"/>
        <v>48.259625987982503</v>
      </c>
      <c r="J641" s="85">
        <f t="shared" si="19"/>
        <v>4.3202355128379963</v>
      </c>
    </row>
    <row r="642" spans="7:10" x14ac:dyDescent="0.2">
      <c r="G642" s="82">
        <v>637</v>
      </c>
      <c r="H642" s="83">
        <v>-0.14827599999999999</v>
      </c>
      <c r="I642" s="84">
        <f t="shared" si="18"/>
        <v>49.802685879621023</v>
      </c>
      <c r="J642" s="85">
        <f t="shared" si="19"/>
        <v>2.7771756211994756</v>
      </c>
    </row>
    <row r="643" spans="7:10" x14ac:dyDescent="0.2">
      <c r="G643" s="82">
        <v>638</v>
      </c>
      <c r="H643" s="83">
        <v>-0.85980900000000005</v>
      </c>
      <c r="I643" s="84">
        <f t="shared" si="18"/>
        <v>42.825339556077324</v>
      </c>
      <c r="J643" s="85">
        <f t="shared" si="19"/>
        <v>9.7545219447431748</v>
      </c>
    </row>
    <row r="644" spans="7:10" x14ac:dyDescent="0.2">
      <c r="G644" s="82">
        <v>639</v>
      </c>
      <c r="H644" s="83">
        <v>-0.23406199999999999</v>
      </c>
      <c r="I644" s="84">
        <f t="shared" si="18"/>
        <v>48.904575333333021</v>
      </c>
      <c r="J644" s="85">
        <f t="shared" si="19"/>
        <v>3.6752861674874779</v>
      </c>
    </row>
    <row r="645" spans="7:10" x14ac:dyDescent="0.2">
      <c r="G645" s="82">
        <v>640</v>
      </c>
      <c r="H645" s="83">
        <v>1.6982790000000001</v>
      </c>
      <c r="I645" s="84">
        <f t="shared" si="18"/>
        <v>73.683757234623187</v>
      </c>
      <c r="J645" s="85">
        <f t="shared" si="19"/>
        <v>-21.103895733802688</v>
      </c>
    </row>
    <row r="646" spans="7:10" x14ac:dyDescent="0.2">
      <c r="G646" s="82">
        <v>641</v>
      </c>
      <c r="H646" s="83">
        <v>-1.1145069999999999</v>
      </c>
      <c r="I646" s="84">
        <f t="shared" ref="I646:I709" si="20">$C$8*EXP(($C$11-$C$12^2/2)*$C$14+H646*$C$12*SQRT($C$14))</f>
        <v>40.572900493379066</v>
      </c>
      <c r="J646" s="85">
        <f t="shared" ref="J646:J709" si="21">($C$9*EXP(-$C$10*($C$13-$C$14))-I646)*$C$15/1000000</f>
        <v>12.006961007441433</v>
      </c>
    </row>
    <row r="647" spans="7:10" x14ac:dyDescent="0.2">
      <c r="G647" s="82">
        <v>642</v>
      </c>
      <c r="H647" s="83">
        <v>-1.769879</v>
      </c>
      <c r="I647" s="84">
        <f t="shared" si="20"/>
        <v>35.306778556271247</v>
      </c>
      <c r="J647" s="85">
        <f t="shared" si="21"/>
        <v>17.273082944549252</v>
      </c>
    </row>
    <row r="648" spans="7:10" x14ac:dyDescent="0.2">
      <c r="G648" s="82">
        <v>643</v>
      </c>
      <c r="H648" s="83">
        <v>-0.30141800000000002</v>
      </c>
      <c r="I648" s="84">
        <f t="shared" si="20"/>
        <v>48.210777319194378</v>
      </c>
      <c r="J648" s="85">
        <f t="shared" si="21"/>
        <v>4.3690841816261212</v>
      </c>
    </row>
    <row r="649" spans="7:10" x14ac:dyDescent="0.2">
      <c r="G649" s="82">
        <v>644</v>
      </c>
      <c r="H649" s="83">
        <v>7.6307E-2</v>
      </c>
      <c r="I649" s="84">
        <f t="shared" si="20"/>
        <v>52.232774642313714</v>
      </c>
      <c r="J649" s="85">
        <f t="shared" si="21"/>
        <v>0.34708685850678478</v>
      </c>
    </row>
    <row r="650" spans="7:10" x14ac:dyDescent="0.2">
      <c r="G650" s="82">
        <v>645</v>
      </c>
      <c r="H650" s="83">
        <v>0.98085500000000003</v>
      </c>
      <c r="I650" s="84">
        <f t="shared" si="20"/>
        <v>63.281547121698814</v>
      </c>
      <c r="J650" s="85">
        <f t="shared" si="21"/>
        <v>-10.701685620878315</v>
      </c>
    </row>
    <row r="651" spans="7:10" x14ac:dyDescent="0.2">
      <c r="G651" s="82">
        <v>646</v>
      </c>
      <c r="H651" s="83">
        <v>0.19669600000000001</v>
      </c>
      <c r="I651" s="84">
        <f t="shared" si="20"/>
        <v>53.583893475434209</v>
      </c>
      <c r="J651" s="85">
        <f t="shared" si="21"/>
        <v>-1.0040319746137101</v>
      </c>
    </row>
    <row r="652" spans="7:10" x14ac:dyDescent="0.2">
      <c r="G652" s="82">
        <v>647</v>
      </c>
      <c r="H652" s="83">
        <v>0.26347599999999999</v>
      </c>
      <c r="I652" s="84">
        <f t="shared" si="20"/>
        <v>54.348374510643197</v>
      </c>
      <c r="J652" s="85">
        <f t="shared" si="21"/>
        <v>-1.7685130098226978</v>
      </c>
    </row>
    <row r="653" spans="7:10" x14ac:dyDescent="0.2">
      <c r="G653" s="82">
        <v>648</v>
      </c>
      <c r="H653" s="83">
        <v>-0.25052600000000003</v>
      </c>
      <c r="I653" s="84">
        <f t="shared" si="20"/>
        <v>48.734071977467551</v>
      </c>
      <c r="J653" s="85">
        <f t="shared" si="21"/>
        <v>3.8457895233529484</v>
      </c>
    </row>
    <row r="654" spans="7:10" x14ac:dyDescent="0.2">
      <c r="G654" s="82">
        <v>649</v>
      </c>
      <c r="H654" s="83">
        <v>-1.2325410000000001</v>
      </c>
      <c r="I654" s="84">
        <f t="shared" si="20"/>
        <v>39.56961697508325</v>
      </c>
      <c r="J654" s="85">
        <f t="shared" si="21"/>
        <v>13.010244525737249</v>
      </c>
    </row>
    <row r="655" spans="7:10" x14ac:dyDescent="0.2">
      <c r="G655" s="82">
        <v>650</v>
      </c>
      <c r="H655" s="83">
        <v>0.92763700000000004</v>
      </c>
      <c r="I655" s="84">
        <f t="shared" si="20"/>
        <v>62.571163773512318</v>
      </c>
      <c r="J655" s="85">
        <f t="shared" si="21"/>
        <v>-9.9913022726918186</v>
      </c>
    </row>
    <row r="656" spans="7:10" x14ac:dyDescent="0.2">
      <c r="G656" s="82">
        <v>651</v>
      </c>
      <c r="H656" s="83">
        <v>-0.77578899999999995</v>
      </c>
      <c r="I656" s="84">
        <f t="shared" si="20"/>
        <v>43.59547264853957</v>
      </c>
      <c r="J656" s="85">
        <f t="shared" si="21"/>
        <v>8.9843888522809294</v>
      </c>
    </row>
    <row r="657" spans="7:10" x14ac:dyDescent="0.2">
      <c r="G657" s="82">
        <v>652</v>
      </c>
      <c r="H657" s="83">
        <v>0.59119600000000005</v>
      </c>
      <c r="I657" s="84">
        <f t="shared" si="20"/>
        <v>58.261099031664912</v>
      </c>
      <c r="J657" s="85">
        <f t="shared" si="21"/>
        <v>-5.6812375308444132</v>
      </c>
    </row>
    <row r="658" spans="7:10" x14ac:dyDescent="0.2">
      <c r="G658" s="82">
        <v>653</v>
      </c>
      <c r="H658" s="83">
        <v>-0.73760800000000004</v>
      </c>
      <c r="I658" s="84">
        <f t="shared" si="20"/>
        <v>43.950004206003157</v>
      </c>
      <c r="J658" s="85">
        <f t="shared" si="21"/>
        <v>8.6298572948173415</v>
      </c>
    </row>
    <row r="659" spans="7:10" x14ac:dyDescent="0.2">
      <c r="G659" s="82">
        <v>654</v>
      </c>
      <c r="H659" s="83">
        <v>0.89725699999999997</v>
      </c>
      <c r="I659" s="84">
        <f t="shared" si="20"/>
        <v>62.16921603484127</v>
      </c>
      <c r="J659" s="85">
        <f t="shared" si="21"/>
        <v>-9.5893545340207709</v>
      </c>
    </row>
    <row r="660" spans="7:10" x14ac:dyDescent="0.2">
      <c r="G660" s="82">
        <v>655</v>
      </c>
      <c r="H660" s="83">
        <v>0.60919400000000001</v>
      </c>
      <c r="I660" s="84">
        <f t="shared" si="20"/>
        <v>58.48396230183409</v>
      </c>
      <c r="J660" s="85">
        <f t="shared" si="21"/>
        <v>-5.9041008010135911</v>
      </c>
    </row>
    <row r="661" spans="7:10" x14ac:dyDescent="0.2">
      <c r="G661" s="82">
        <v>656</v>
      </c>
      <c r="H661" s="83">
        <v>-0.29648999999999998</v>
      </c>
      <c r="I661" s="84">
        <f t="shared" si="20"/>
        <v>48.261202575280862</v>
      </c>
      <c r="J661" s="85">
        <f t="shared" si="21"/>
        <v>4.318658925539637</v>
      </c>
    </row>
    <row r="662" spans="7:10" x14ac:dyDescent="0.2">
      <c r="G662" s="82">
        <v>657</v>
      </c>
      <c r="H662" s="83">
        <v>-0.27916400000000002</v>
      </c>
      <c r="I662" s="84">
        <f t="shared" si="20"/>
        <v>48.438908150694047</v>
      </c>
      <c r="J662" s="85">
        <f t="shared" si="21"/>
        <v>4.1409533501264519</v>
      </c>
    </row>
    <row r="663" spans="7:10" x14ac:dyDescent="0.2">
      <c r="G663" s="82">
        <v>658</v>
      </c>
      <c r="H663" s="83">
        <v>-0.832646</v>
      </c>
      <c r="I663" s="84">
        <f t="shared" si="20"/>
        <v>43.072817580113089</v>
      </c>
      <c r="J663" s="85">
        <f t="shared" si="21"/>
        <v>9.5070439207074102</v>
      </c>
    </row>
    <row r="664" spans="7:10" x14ac:dyDescent="0.2">
      <c r="G664" s="82">
        <v>659</v>
      </c>
      <c r="H664" s="83">
        <v>-0.712005</v>
      </c>
      <c r="I664" s="84">
        <f t="shared" si="20"/>
        <v>44.189355589170496</v>
      </c>
      <c r="J664" s="85">
        <f t="shared" si="21"/>
        <v>8.3905059116500027</v>
      </c>
    </row>
    <row r="665" spans="7:10" x14ac:dyDescent="0.2">
      <c r="G665" s="82">
        <v>660</v>
      </c>
      <c r="H665" s="83">
        <v>-7.0990999999999999E-2</v>
      </c>
      <c r="I665" s="84">
        <f t="shared" si="20"/>
        <v>50.625912004957726</v>
      </c>
      <c r="J665" s="85">
        <f t="shared" si="21"/>
        <v>1.9539494958627728</v>
      </c>
    </row>
    <row r="666" spans="7:10" x14ac:dyDescent="0.2">
      <c r="G666" s="82">
        <v>661</v>
      </c>
      <c r="H666" s="83">
        <v>-0.71723300000000001</v>
      </c>
      <c r="I666" s="84">
        <f t="shared" si="20"/>
        <v>44.140375597788619</v>
      </c>
      <c r="J666" s="85">
        <f t="shared" si="21"/>
        <v>8.4394859030318798</v>
      </c>
    </row>
    <row r="667" spans="7:10" x14ac:dyDescent="0.2">
      <c r="G667" s="82">
        <v>662</v>
      </c>
      <c r="H667" s="83">
        <v>-0.59680200000000005</v>
      </c>
      <c r="I667" s="84">
        <f t="shared" si="20"/>
        <v>45.282569675127078</v>
      </c>
      <c r="J667" s="85">
        <f t="shared" si="21"/>
        <v>7.2972918256934207</v>
      </c>
    </row>
    <row r="668" spans="7:10" x14ac:dyDescent="0.2">
      <c r="G668" s="82">
        <v>663</v>
      </c>
      <c r="H668" s="83">
        <v>-0.63265000000000005</v>
      </c>
      <c r="I668" s="84">
        <f t="shared" si="20"/>
        <v>44.939523959197977</v>
      </c>
      <c r="J668" s="85">
        <f t="shared" si="21"/>
        <v>7.6403375416225217</v>
      </c>
    </row>
    <row r="669" spans="7:10" x14ac:dyDescent="0.2">
      <c r="G669" s="82">
        <v>664</v>
      </c>
      <c r="H669" s="83">
        <v>-0.36623600000000001</v>
      </c>
      <c r="I669" s="84">
        <f t="shared" si="20"/>
        <v>47.552416966222125</v>
      </c>
      <c r="J669" s="85">
        <f t="shared" si="21"/>
        <v>5.0274445345983736</v>
      </c>
    </row>
    <row r="670" spans="7:10" x14ac:dyDescent="0.2">
      <c r="G670" s="82">
        <v>665</v>
      </c>
      <c r="H670" s="83">
        <v>-0.45981</v>
      </c>
      <c r="I670" s="84">
        <f t="shared" si="20"/>
        <v>46.617806165856848</v>
      </c>
      <c r="J670" s="85">
        <f t="shared" si="21"/>
        <v>5.9620553349636518</v>
      </c>
    </row>
    <row r="671" spans="7:10" x14ac:dyDescent="0.2">
      <c r="G671" s="82">
        <v>666</v>
      </c>
      <c r="H671" s="83">
        <v>-1.4337489999999999</v>
      </c>
      <c r="I671" s="84">
        <f t="shared" si="20"/>
        <v>37.916217134615785</v>
      </c>
      <c r="J671" s="85">
        <f t="shared" si="21"/>
        <v>14.663644366204714</v>
      </c>
    </row>
    <row r="672" spans="7:10" x14ac:dyDescent="0.2">
      <c r="G672" s="82">
        <v>667</v>
      </c>
      <c r="H672" s="83">
        <v>-0.77640900000000002</v>
      </c>
      <c r="I672" s="84">
        <f t="shared" si="20"/>
        <v>43.589739267873263</v>
      </c>
      <c r="J672" s="85">
        <f t="shared" si="21"/>
        <v>8.9901222329472361</v>
      </c>
    </row>
    <row r="673" spans="7:10" x14ac:dyDescent="0.2">
      <c r="G673" s="82">
        <v>668</v>
      </c>
      <c r="H673" s="83">
        <v>1.5209349999999999</v>
      </c>
      <c r="I673" s="84">
        <f t="shared" si="20"/>
        <v>70.963243166087551</v>
      </c>
      <c r="J673" s="85">
        <f t="shared" si="21"/>
        <v>-18.383381665267049</v>
      </c>
    </row>
    <row r="674" spans="7:10" x14ac:dyDescent="0.2">
      <c r="G674" s="82">
        <v>669</v>
      </c>
      <c r="H674" s="83">
        <v>-2.5871680000000001</v>
      </c>
      <c r="I674" s="84">
        <f t="shared" si="20"/>
        <v>29.686778975756038</v>
      </c>
      <c r="J674" s="85">
        <f t="shared" si="21"/>
        <v>22.893082525064461</v>
      </c>
    </row>
    <row r="675" spans="7:10" x14ac:dyDescent="0.2">
      <c r="G675" s="82">
        <v>670</v>
      </c>
      <c r="H675" s="83">
        <v>1.7594320000000001</v>
      </c>
      <c r="I675" s="84">
        <f t="shared" si="20"/>
        <v>74.645847404228476</v>
      </c>
      <c r="J675" s="85">
        <f t="shared" si="21"/>
        <v>-22.065985903407977</v>
      </c>
    </row>
    <row r="676" spans="7:10" x14ac:dyDescent="0.2">
      <c r="G676" s="82">
        <v>671</v>
      </c>
      <c r="H676" s="83">
        <v>0.78466999999999998</v>
      </c>
      <c r="I676" s="84">
        <f t="shared" si="20"/>
        <v>60.702000144132782</v>
      </c>
      <c r="J676" s="85">
        <f t="shared" si="21"/>
        <v>-8.1221386433122831</v>
      </c>
    </row>
    <row r="677" spans="7:10" x14ac:dyDescent="0.2">
      <c r="G677" s="82">
        <v>672</v>
      </c>
      <c r="H677" s="83">
        <v>-0.49275200000000002</v>
      </c>
      <c r="I677" s="84">
        <f t="shared" si="20"/>
        <v>46.293174037842135</v>
      </c>
      <c r="J677" s="85">
        <f t="shared" si="21"/>
        <v>6.2866874629783638</v>
      </c>
    </row>
    <row r="678" spans="7:10" x14ac:dyDescent="0.2">
      <c r="G678" s="82">
        <v>673</v>
      </c>
      <c r="H678" s="83">
        <v>0.38126300000000002</v>
      </c>
      <c r="I678" s="84">
        <f t="shared" si="20"/>
        <v>55.723452090825852</v>
      </c>
      <c r="J678" s="85">
        <f t="shared" si="21"/>
        <v>-3.1435905900053527</v>
      </c>
    </row>
    <row r="679" spans="7:10" x14ac:dyDescent="0.2">
      <c r="G679" s="82">
        <v>674</v>
      </c>
      <c r="H679" s="83">
        <v>-1.434793</v>
      </c>
      <c r="I679" s="84">
        <f t="shared" si="20"/>
        <v>37.907820917363786</v>
      </c>
      <c r="J679" s="85">
        <f t="shared" si="21"/>
        <v>14.672040583456713</v>
      </c>
    </row>
    <row r="680" spans="7:10" x14ac:dyDescent="0.2">
      <c r="G680" s="82">
        <v>675</v>
      </c>
      <c r="H680" s="83">
        <v>-0.101741</v>
      </c>
      <c r="I680" s="84">
        <f t="shared" si="20"/>
        <v>50.296750876599546</v>
      </c>
      <c r="J680" s="85">
        <f t="shared" si="21"/>
        <v>2.2831106242209529</v>
      </c>
    </row>
    <row r="681" spans="7:10" x14ac:dyDescent="0.2">
      <c r="G681" s="82">
        <v>676</v>
      </c>
      <c r="H681" s="83">
        <v>1.148185</v>
      </c>
      <c r="I681" s="84">
        <f t="shared" si="20"/>
        <v>65.56813462689064</v>
      </c>
      <c r="J681" s="85">
        <f t="shared" si="21"/>
        <v>-12.988273126070141</v>
      </c>
    </row>
    <row r="682" spans="7:10" x14ac:dyDescent="0.2">
      <c r="G682" s="82">
        <v>677</v>
      </c>
      <c r="H682" s="83">
        <v>0.93902200000000002</v>
      </c>
      <c r="I682" s="84">
        <f t="shared" si="20"/>
        <v>62.722463473656774</v>
      </c>
      <c r="J682" s="85">
        <f t="shared" si="21"/>
        <v>-10.142601972836275</v>
      </c>
    </row>
    <row r="683" spans="7:10" x14ac:dyDescent="0.2">
      <c r="G683" s="82">
        <v>678</v>
      </c>
      <c r="H683" s="83">
        <v>-0.66401200000000005</v>
      </c>
      <c r="I683" s="84">
        <f t="shared" si="20"/>
        <v>44.641538810101295</v>
      </c>
      <c r="J683" s="85">
        <f t="shared" si="21"/>
        <v>7.9383226907192039</v>
      </c>
    </row>
    <row r="684" spans="7:10" x14ac:dyDescent="0.2">
      <c r="G684" s="82">
        <v>679</v>
      </c>
      <c r="H684" s="83">
        <v>-0.39529199999999998</v>
      </c>
      <c r="I684" s="84">
        <f t="shared" si="20"/>
        <v>47.260219170872922</v>
      </c>
      <c r="J684" s="85">
        <f t="shared" si="21"/>
        <v>5.3196423299475768</v>
      </c>
    </row>
    <row r="685" spans="7:10" x14ac:dyDescent="0.2">
      <c r="G685" s="82">
        <v>680</v>
      </c>
      <c r="H685" s="83">
        <v>0.53342900000000004</v>
      </c>
      <c r="I685" s="84">
        <f t="shared" si="20"/>
        <v>57.551510662134021</v>
      </c>
      <c r="J685" s="85">
        <f t="shared" si="21"/>
        <v>-4.9716491613135219</v>
      </c>
    </row>
    <row r="686" spans="7:10" x14ac:dyDescent="0.2">
      <c r="G686" s="82">
        <v>681</v>
      </c>
      <c r="H686" s="83">
        <v>-0.98955800000000005</v>
      </c>
      <c r="I686" s="84">
        <f t="shared" si="20"/>
        <v>41.662692070445011</v>
      </c>
      <c r="J686" s="85">
        <f t="shared" si="21"/>
        <v>10.917169430375488</v>
      </c>
    </row>
    <row r="687" spans="7:10" x14ac:dyDescent="0.2">
      <c r="G687" s="82">
        <v>682</v>
      </c>
      <c r="H687" s="83">
        <v>-0.50592599999999999</v>
      </c>
      <c r="I687" s="84">
        <f t="shared" si="20"/>
        <v>46.163982469520334</v>
      </c>
      <c r="J687" s="85">
        <f t="shared" si="21"/>
        <v>6.4158790313001646</v>
      </c>
    </row>
    <row r="688" spans="7:10" x14ac:dyDescent="0.2">
      <c r="G688" s="82">
        <v>683</v>
      </c>
      <c r="H688" s="83">
        <v>0.59756500000000001</v>
      </c>
      <c r="I688" s="84">
        <f t="shared" si="20"/>
        <v>58.339866990697672</v>
      </c>
      <c r="J688" s="85">
        <f t="shared" si="21"/>
        <v>-5.7600054898771731</v>
      </c>
    </row>
    <row r="689" spans="7:10" x14ac:dyDescent="0.2">
      <c r="G689" s="82">
        <v>684</v>
      </c>
      <c r="H689" s="83">
        <v>-2.1642009999999998</v>
      </c>
      <c r="I689" s="84">
        <f t="shared" si="20"/>
        <v>32.473573793822439</v>
      </c>
      <c r="J689" s="85">
        <f t="shared" si="21"/>
        <v>20.10628770699806</v>
      </c>
    </row>
    <row r="690" spans="7:10" x14ac:dyDescent="0.2">
      <c r="G690" s="82">
        <v>685</v>
      </c>
      <c r="H690" s="83">
        <v>1.3981330000000001</v>
      </c>
      <c r="I690" s="84">
        <f t="shared" si="20"/>
        <v>69.138504415985764</v>
      </c>
      <c r="J690" s="85">
        <f t="shared" si="21"/>
        <v>-16.558642915165265</v>
      </c>
    </row>
    <row r="691" spans="7:10" x14ac:dyDescent="0.2">
      <c r="G691" s="82">
        <v>686</v>
      </c>
      <c r="H691" s="83">
        <v>-1.173203</v>
      </c>
      <c r="I691" s="84">
        <f t="shared" si="20"/>
        <v>40.07084715597545</v>
      </c>
      <c r="J691" s="85">
        <f t="shared" si="21"/>
        <v>12.509014344845049</v>
      </c>
    </row>
    <row r="692" spans="7:10" x14ac:dyDescent="0.2">
      <c r="G692" s="82">
        <v>687</v>
      </c>
      <c r="H692" s="83">
        <v>-1.80898</v>
      </c>
      <c r="I692" s="84">
        <f t="shared" si="20"/>
        <v>35.015135046512043</v>
      </c>
      <c r="J692" s="85">
        <f t="shared" si="21"/>
        <v>17.564726454308456</v>
      </c>
    </row>
    <row r="693" spans="7:10" x14ac:dyDescent="0.2">
      <c r="G693" s="82">
        <v>688</v>
      </c>
      <c r="H693" s="83">
        <v>-0.85592000000000001</v>
      </c>
      <c r="I693" s="84">
        <f t="shared" si="20"/>
        <v>42.860684245507272</v>
      </c>
      <c r="J693" s="85">
        <f t="shared" si="21"/>
        <v>9.7191772553132267</v>
      </c>
    </row>
    <row r="694" spans="7:10" x14ac:dyDescent="0.2">
      <c r="G694" s="82">
        <v>689</v>
      </c>
      <c r="H694" s="83">
        <v>2.0616850000000002</v>
      </c>
      <c r="I694" s="84">
        <f t="shared" si="20"/>
        <v>79.588725126572484</v>
      </c>
      <c r="J694" s="85">
        <f t="shared" si="21"/>
        <v>-27.008863625751982</v>
      </c>
    </row>
    <row r="695" spans="7:10" x14ac:dyDescent="0.2">
      <c r="G695" s="82">
        <v>690</v>
      </c>
      <c r="H695" s="83">
        <v>-1.16652</v>
      </c>
      <c r="I695" s="84">
        <f t="shared" si="20"/>
        <v>40.127695016351531</v>
      </c>
      <c r="J695" s="85">
        <f t="shared" si="21"/>
        <v>12.452166484468968</v>
      </c>
    </row>
    <row r="696" spans="7:10" x14ac:dyDescent="0.2">
      <c r="G696" s="82">
        <v>691</v>
      </c>
      <c r="H696" s="83">
        <v>0.767513</v>
      </c>
      <c r="I696" s="84">
        <f t="shared" si="20"/>
        <v>60.481473772915109</v>
      </c>
      <c r="J696" s="85">
        <f t="shared" si="21"/>
        <v>-7.90161227209461</v>
      </c>
    </row>
    <row r="697" spans="7:10" x14ac:dyDescent="0.2">
      <c r="G697" s="82">
        <v>692</v>
      </c>
      <c r="H697" s="83">
        <v>-0.86518799999999996</v>
      </c>
      <c r="I697" s="84">
        <f t="shared" si="20"/>
        <v>42.776501219652339</v>
      </c>
      <c r="J697" s="85">
        <f t="shared" si="21"/>
        <v>9.8033602811681604</v>
      </c>
    </row>
    <row r="698" spans="7:10" x14ac:dyDescent="0.2">
      <c r="G698" s="82">
        <v>693</v>
      </c>
      <c r="H698" s="83">
        <v>-1.4299200000000001</v>
      </c>
      <c r="I698" s="84">
        <f t="shared" si="20"/>
        <v>37.947027228058111</v>
      </c>
      <c r="J698" s="85">
        <f t="shared" si="21"/>
        <v>14.632834272762388</v>
      </c>
    </row>
    <row r="699" spans="7:10" x14ac:dyDescent="0.2">
      <c r="G699" s="82">
        <v>694</v>
      </c>
      <c r="H699" s="83">
        <v>-1.1852750000000001</v>
      </c>
      <c r="I699" s="84">
        <f t="shared" si="20"/>
        <v>39.9683626898113</v>
      </c>
      <c r="J699" s="85">
        <f t="shared" si="21"/>
        <v>12.611498811009199</v>
      </c>
    </row>
    <row r="700" spans="7:10" x14ac:dyDescent="0.2">
      <c r="G700" s="82">
        <v>695</v>
      </c>
      <c r="H700" s="83">
        <v>2.7191459999999998</v>
      </c>
      <c r="I700" s="84">
        <f t="shared" si="20"/>
        <v>91.500183534320172</v>
      </c>
      <c r="J700" s="85">
        <f t="shared" si="21"/>
        <v>-38.920322033499673</v>
      </c>
    </row>
    <row r="701" spans="7:10" x14ac:dyDescent="0.2">
      <c r="G701" s="82">
        <v>696</v>
      </c>
      <c r="H701" s="83">
        <v>-0.27602700000000002</v>
      </c>
      <c r="I701" s="84">
        <f t="shared" si="20"/>
        <v>48.471152946515382</v>
      </c>
      <c r="J701" s="85">
        <f t="shared" si="21"/>
        <v>4.1087085543051174</v>
      </c>
    </row>
    <row r="702" spans="7:10" x14ac:dyDescent="0.2">
      <c r="G702" s="82">
        <v>697</v>
      </c>
      <c r="H702" s="83">
        <v>-0.57324200000000003</v>
      </c>
      <c r="I702" s="84">
        <f t="shared" si="20"/>
        <v>45.50945077777147</v>
      </c>
      <c r="J702" s="85">
        <f t="shared" si="21"/>
        <v>7.0704107230490294</v>
      </c>
    </row>
    <row r="703" spans="7:10" x14ac:dyDescent="0.2">
      <c r="G703" s="82">
        <v>698</v>
      </c>
      <c r="H703" s="83">
        <v>-1.5750599999999999</v>
      </c>
      <c r="I703" s="84">
        <f t="shared" si="20"/>
        <v>36.796484966400257</v>
      </c>
      <c r="J703" s="85">
        <f t="shared" si="21"/>
        <v>15.783376534420242</v>
      </c>
    </row>
    <row r="704" spans="7:10" x14ac:dyDescent="0.2">
      <c r="G704" s="82">
        <v>699</v>
      </c>
      <c r="H704" s="83">
        <v>-0.178289</v>
      </c>
      <c r="I704" s="84">
        <f t="shared" si="20"/>
        <v>49.486613425651626</v>
      </c>
      <c r="J704" s="85">
        <f t="shared" si="21"/>
        <v>3.0932480751688729</v>
      </c>
    </row>
    <row r="705" spans="7:10" x14ac:dyDescent="0.2">
      <c r="G705" s="82">
        <v>700</v>
      </c>
      <c r="H705" s="83">
        <v>-2.418831</v>
      </c>
      <c r="I705" s="84">
        <f t="shared" si="20"/>
        <v>30.76603939592869</v>
      </c>
      <c r="J705" s="85">
        <f t="shared" si="21"/>
        <v>21.813822104891809</v>
      </c>
    </row>
    <row r="706" spans="7:10" x14ac:dyDescent="0.2">
      <c r="G706" s="82">
        <v>701</v>
      </c>
      <c r="H706" s="83">
        <v>-1.2164630000000001</v>
      </c>
      <c r="I706" s="84">
        <f t="shared" si="20"/>
        <v>39.704805849862375</v>
      </c>
      <c r="J706" s="85">
        <f t="shared" si="21"/>
        <v>12.875055650958124</v>
      </c>
    </row>
    <row r="707" spans="7:10" x14ac:dyDescent="0.2">
      <c r="G707" s="82">
        <v>702</v>
      </c>
      <c r="H707" s="83">
        <v>1.0553840000000001</v>
      </c>
      <c r="I707" s="84">
        <f t="shared" si="20"/>
        <v>64.289978284210122</v>
      </c>
      <c r="J707" s="85">
        <f t="shared" si="21"/>
        <v>-11.710116783389623</v>
      </c>
    </row>
    <row r="708" spans="7:10" x14ac:dyDescent="0.2">
      <c r="G708" s="82">
        <v>703</v>
      </c>
      <c r="H708" s="83">
        <v>0.93998899999999996</v>
      </c>
      <c r="I708" s="84">
        <f t="shared" si="20"/>
        <v>62.735331157528293</v>
      </c>
      <c r="J708" s="85">
        <f t="shared" si="21"/>
        <v>-10.155469656707794</v>
      </c>
    </row>
    <row r="709" spans="7:10" x14ac:dyDescent="0.2">
      <c r="G709" s="82">
        <v>704</v>
      </c>
      <c r="H709" s="83">
        <v>-0.30616700000000002</v>
      </c>
      <c r="I709" s="84">
        <f t="shared" si="20"/>
        <v>48.162233513444605</v>
      </c>
      <c r="J709" s="85">
        <f t="shared" si="21"/>
        <v>4.4176279873758943</v>
      </c>
    </row>
    <row r="710" spans="7:10" x14ac:dyDescent="0.2">
      <c r="G710" s="82">
        <v>705</v>
      </c>
      <c r="H710" s="83">
        <v>0.96355500000000005</v>
      </c>
      <c r="I710" s="84">
        <f t="shared" ref="I710:I773" si="22">$C$8*EXP(($C$11-$C$12^2/2)*$C$14+H710*$C$12*SQRT($C$14))</f>
        <v>63.049736790826408</v>
      </c>
      <c r="J710" s="85">
        <f t="shared" ref="J710:J773" si="23">($C$9*EXP(-$C$10*($C$13-$C$14))-I710)*$C$15/1000000</f>
        <v>-10.469875290005909</v>
      </c>
    </row>
    <row r="711" spans="7:10" x14ac:dyDescent="0.2">
      <c r="G711" s="82">
        <v>706</v>
      </c>
      <c r="H711" s="83">
        <v>-0.177758</v>
      </c>
      <c r="I711" s="84">
        <f t="shared" si="22"/>
        <v>49.4921880161776</v>
      </c>
      <c r="J711" s="85">
        <f t="shared" si="23"/>
        <v>3.0876734846428988</v>
      </c>
    </row>
    <row r="712" spans="7:10" x14ac:dyDescent="0.2">
      <c r="G712" s="82">
        <v>707</v>
      </c>
      <c r="H712" s="83">
        <v>-1.50325</v>
      </c>
      <c r="I712" s="84">
        <f t="shared" si="22"/>
        <v>37.361304313489811</v>
      </c>
      <c r="J712" s="85">
        <f t="shared" si="23"/>
        <v>15.218557187330688</v>
      </c>
    </row>
    <row r="713" spans="7:10" x14ac:dyDescent="0.2">
      <c r="G713" s="82">
        <v>708</v>
      </c>
      <c r="H713" s="83">
        <v>1.032422</v>
      </c>
      <c r="I713" s="84">
        <f t="shared" si="22"/>
        <v>63.977584805745522</v>
      </c>
      <c r="J713" s="85">
        <f t="shared" si="23"/>
        <v>-11.397723304925023</v>
      </c>
    </row>
    <row r="714" spans="7:10" x14ac:dyDescent="0.2">
      <c r="G714" s="82">
        <v>709</v>
      </c>
      <c r="H714" s="83">
        <v>0.80305499999999996</v>
      </c>
      <c r="I714" s="84">
        <f t="shared" si="22"/>
        <v>60.939203075786622</v>
      </c>
      <c r="J714" s="85">
        <f t="shared" si="23"/>
        <v>-8.3593415749661233</v>
      </c>
    </row>
    <row r="715" spans="7:10" x14ac:dyDescent="0.2">
      <c r="G715" s="82">
        <v>710</v>
      </c>
      <c r="H715" s="83">
        <v>0.666157</v>
      </c>
      <c r="I715" s="84">
        <f t="shared" si="22"/>
        <v>59.194950641750452</v>
      </c>
      <c r="J715" s="85">
        <f t="shared" si="23"/>
        <v>-6.6150891409299533</v>
      </c>
    </row>
    <row r="716" spans="7:10" x14ac:dyDescent="0.2">
      <c r="G716" s="82">
        <v>711</v>
      </c>
      <c r="H716" s="83">
        <v>1.240102</v>
      </c>
      <c r="I716" s="84">
        <f t="shared" si="22"/>
        <v>66.859163219246938</v>
      </c>
      <c r="J716" s="85">
        <f t="shared" si="23"/>
        <v>-14.279301718426439</v>
      </c>
    </row>
    <row r="717" spans="7:10" x14ac:dyDescent="0.2">
      <c r="G717" s="82">
        <v>712</v>
      </c>
      <c r="H717" s="83">
        <v>-1.1933879999999999</v>
      </c>
      <c r="I717" s="84">
        <f t="shared" si="22"/>
        <v>39.899635208589267</v>
      </c>
      <c r="J717" s="85">
        <f t="shared" si="23"/>
        <v>12.680226292231232</v>
      </c>
    </row>
    <row r="718" spans="7:10" x14ac:dyDescent="0.2">
      <c r="G718" s="82">
        <v>713</v>
      </c>
      <c r="H718" s="83">
        <v>-0.18086199999999999</v>
      </c>
      <c r="I718" s="84">
        <f t="shared" si="22"/>
        <v>49.459610223953142</v>
      </c>
      <c r="J718" s="85">
        <f t="shared" si="23"/>
        <v>3.1202512768673571</v>
      </c>
    </row>
    <row r="719" spans="7:10" x14ac:dyDescent="0.2">
      <c r="G719" s="82">
        <v>714</v>
      </c>
      <c r="H719" s="83">
        <v>-0.48478399999999999</v>
      </c>
      <c r="I719" s="84">
        <f t="shared" si="22"/>
        <v>46.371488078054433</v>
      </c>
      <c r="J719" s="85">
        <f t="shared" si="23"/>
        <v>6.2083734227660656</v>
      </c>
    </row>
    <row r="720" spans="7:10" x14ac:dyDescent="0.2">
      <c r="G720" s="82">
        <v>715</v>
      </c>
      <c r="H720" s="83">
        <v>-1.8177829999999999</v>
      </c>
      <c r="I720" s="84">
        <f t="shared" si="22"/>
        <v>34.949808856898024</v>
      </c>
      <c r="J720" s="85">
        <f t="shared" si="23"/>
        <v>17.630052643922475</v>
      </c>
    </row>
    <row r="721" spans="7:10" x14ac:dyDescent="0.2">
      <c r="G721" s="82">
        <v>716</v>
      </c>
      <c r="H721" s="83">
        <v>1.5106040000000001</v>
      </c>
      <c r="I721" s="84">
        <f t="shared" si="22"/>
        <v>70.807894948467208</v>
      </c>
      <c r="J721" s="85">
        <f t="shared" si="23"/>
        <v>-18.228033447646709</v>
      </c>
    </row>
    <row r="722" spans="7:10" x14ac:dyDescent="0.2">
      <c r="G722" s="82">
        <v>717</v>
      </c>
      <c r="H722" s="83">
        <v>0.78118500000000002</v>
      </c>
      <c r="I722" s="84">
        <f t="shared" si="22"/>
        <v>60.657140944784985</v>
      </c>
      <c r="J722" s="85">
        <f t="shared" si="23"/>
        <v>-8.0772794439644855</v>
      </c>
    </row>
    <row r="723" spans="7:10" x14ac:dyDescent="0.2">
      <c r="G723" s="82">
        <v>718</v>
      </c>
      <c r="H723" s="83">
        <v>2.2759390000000002</v>
      </c>
      <c r="I723" s="84">
        <f t="shared" si="22"/>
        <v>83.289507059669788</v>
      </c>
      <c r="J723" s="85">
        <f t="shared" si="23"/>
        <v>-30.709645558849289</v>
      </c>
    </row>
    <row r="724" spans="7:10" x14ac:dyDescent="0.2">
      <c r="G724" s="82">
        <v>719</v>
      </c>
      <c r="H724" s="83">
        <v>0.57070900000000002</v>
      </c>
      <c r="I724" s="84">
        <f t="shared" si="22"/>
        <v>58.008448667750081</v>
      </c>
      <c r="J724" s="85">
        <f t="shared" si="23"/>
        <v>-5.4285871669295815</v>
      </c>
    </row>
    <row r="725" spans="7:10" x14ac:dyDescent="0.2">
      <c r="G725" s="82">
        <v>720</v>
      </c>
      <c r="H725" s="83">
        <v>1.7414970000000001</v>
      </c>
      <c r="I725" s="84">
        <f t="shared" si="22"/>
        <v>74.362390266978323</v>
      </c>
      <c r="J725" s="85">
        <f t="shared" si="23"/>
        <v>-21.782528766157824</v>
      </c>
    </row>
    <row r="726" spans="7:10" x14ac:dyDescent="0.2">
      <c r="G726" s="82">
        <v>721</v>
      </c>
      <c r="H726" s="83">
        <v>0.75512400000000002</v>
      </c>
      <c r="I726" s="84">
        <f t="shared" si="22"/>
        <v>60.322730871235727</v>
      </c>
      <c r="J726" s="85">
        <f t="shared" si="23"/>
        <v>-7.742869370415228</v>
      </c>
    </row>
    <row r="727" spans="7:10" x14ac:dyDescent="0.2">
      <c r="G727" s="82">
        <v>722</v>
      </c>
      <c r="H727" s="83">
        <v>-0.49969999999999998</v>
      </c>
      <c r="I727" s="84">
        <f t="shared" si="22"/>
        <v>46.224993093397636</v>
      </c>
      <c r="J727" s="85">
        <f t="shared" si="23"/>
        <v>6.3548684074228632</v>
      </c>
    </row>
    <row r="728" spans="7:10" x14ac:dyDescent="0.2">
      <c r="G728" s="82">
        <v>723</v>
      </c>
      <c r="H728" s="83">
        <v>0.86414599999999997</v>
      </c>
      <c r="I728" s="84">
        <f t="shared" si="22"/>
        <v>61.734075424609244</v>
      </c>
      <c r="J728" s="85">
        <f t="shared" si="23"/>
        <v>-9.1542139237887454</v>
      </c>
    </row>
    <row r="729" spans="7:10" x14ac:dyDescent="0.2">
      <c r="G729" s="82">
        <v>724</v>
      </c>
      <c r="H729" s="83">
        <v>-0.190917</v>
      </c>
      <c r="I729" s="84">
        <f t="shared" si="22"/>
        <v>49.354225920037145</v>
      </c>
      <c r="J729" s="85">
        <f t="shared" si="23"/>
        <v>3.2256355807833543</v>
      </c>
    </row>
    <row r="730" spans="7:10" x14ac:dyDescent="0.2">
      <c r="G730" s="82">
        <v>725</v>
      </c>
      <c r="H730" s="83">
        <v>0.53176100000000004</v>
      </c>
      <c r="I730" s="84">
        <f t="shared" si="22"/>
        <v>57.531150454682255</v>
      </c>
      <c r="J730" s="85">
        <f t="shared" si="23"/>
        <v>-4.9512889538617557</v>
      </c>
    </row>
    <row r="731" spans="7:10" x14ac:dyDescent="0.2">
      <c r="G731" s="82">
        <v>726</v>
      </c>
      <c r="H731" s="83">
        <v>-1.2542789999999999</v>
      </c>
      <c r="I731" s="84">
        <f t="shared" si="22"/>
        <v>39.387568629816151</v>
      </c>
      <c r="J731" s="85">
        <f t="shared" si="23"/>
        <v>13.192292871004348</v>
      </c>
    </row>
    <row r="732" spans="7:10" x14ac:dyDescent="0.2">
      <c r="G732" s="82">
        <v>727</v>
      </c>
      <c r="H732" s="83">
        <v>-4.3271999999999998E-2</v>
      </c>
      <c r="I732" s="84">
        <f t="shared" si="22"/>
        <v>50.924473739930754</v>
      </c>
      <c r="J732" s="85">
        <f t="shared" si="23"/>
        <v>1.6553877608897452</v>
      </c>
    </row>
    <row r="733" spans="7:10" x14ac:dyDescent="0.2">
      <c r="G733" s="82">
        <v>728</v>
      </c>
      <c r="H733" s="83">
        <v>-1.2433320000000001</v>
      </c>
      <c r="I733" s="84">
        <f t="shared" si="22"/>
        <v>39.479141095214921</v>
      </c>
      <c r="J733" s="85">
        <f t="shared" si="23"/>
        <v>13.100720405605578</v>
      </c>
    </row>
    <row r="734" spans="7:10" x14ac:dyDescent="0.2">
      <c r="G734" s="82">
        <v>729</v>
      </c>
      <c r="H734" s="83">
        <v>-1.3628450000000001</v>
      </c>
      <c r="I734" s="84">
        <f t="shared" si="22"/>
        <v>38.490825841471327</v>
      </c>
      <c r="J734" s="85">
        <f t="shared" si="23"/>
        <v>14.089035659349172</v>
      </c>
    </row>
    <row r="735" spans="7:10" x14ac:dyDescent="0.2">
      <c r="G735" s="82">
        <v>730</v>
      </c>
      <c r="H735" s="83">
        <v>0.91964599999999996</v>
      </c>
      <c r="I735" s="84">
        <f t="shared" si="22"/>
        <v>62.465186296623308</v>
      </c>
      <c r="J735" s="85">
        <f t="shared" si="23"/>
        <v>-9.8853247958028092</v>
      </c>
    </row>
    <row r="736" spans="7:10" x14ac:dyDescent="0.2">
      <c r="G736" s="82">
        <v>731</v>
      </c>
      <c r="H736" s="83">
        <v>-2.014335</v>
      </c>
      <c r="I736" s="84">
        <f t="shared" si="22"/>
        <v>33.522539182195786</v>
      </c>
      <c r="J736" s="85">
        <f t="shared" si="23"/>
        <v>19.057322318624713</v>
      </c>
    </row>
    <row r="737" spans="7:10" x14ac:dyDescent="0.2">
      <c r="G737" s="82">
        <v>732</v>
      </c>
      <c r="H737" s="83">
        <v>-0.37445600000000001</v>
      </c>
      <c r="I737" s="84">
        <f t="shared" si="22"/>
        <v>47.469570864031311</v>
      </c>
      <c r="J737" s="85">
        <f t="shared" si="23"/>
        <v>5.1102906367891876</v>
      </c>
    </row>
    <row r="738" spans="7:10" x14ac:dyDescent="0.2">
      <c r="G738" s="82">
        <v>733</v>
      </c>
      <c r="H738" s="83">
        <v>-1.348444</v>
      </c>
      <c r="I738" s="84">
        <f t="shared" si="22"/>
        <v>38.608591772916625</v>
      </c>
      <c r="J738" s="85">
        <f t="shared" si="23"/>
        <v>13.971269727903874</v>
      </c>
    </row>
    <row r="739" spans="7:10" x14ac:dyDescent="0.2">
      <c r="G739" s="82">
        <v>734</v>
      </c>
      <c r="H739" s="83">
        <v>0.66602399999999995</v>
      </c>
      <c r="I739" s="84">
        <f t="shared" si="22"/>
        <v>59.193280564984633</v>
      </c>
      <c r="J739" s="85">
        <f t="shared" si="23"/>
        <v>-6.6134190641641339</v>
      </c>
    </row>
    <row r="740" spans="7:10" x14ac:dyDescent="0.2">
      <c r="G740" s="82">
        <v>735</v>
      </c>
      <c r="H740" s="83">
        <v>1.3033570000000001</v>
      </c>
      <c r="I740" s="84">
        <f t="shared" si="22"/>
        <v>67.762353141459258</v>
      </c>
      <c r="J740" s="85">
        <f t="shared" si="23"/>
        <v>-15.182491640638759</v>
      </c>
    </row>
    <row r="741" spans="7:10" x14ac:dyDescent="0.2">
      <c r="G741" s="82">
        <v>736</v>
      </c>
      <c r="H741" s="83">
        <v>0.20310800000000001</v>
      </c>
      <c r="I741" s="84">
        <f t="shared" si="22"/>
        <v>53.656827374638318</v>
      </c>
      <c r="J741" s="85">
        <f t="shared" si="23"/>
        <v>-1.0769658738178194</v>
      </c>
    </row>
    <row r="742" spans="7:10" x14ac:dyDescent="0.2">
      <c r="G742" s="82">
        <v>737</v>
      </c>
      <c r="H742" s="83">
        <v>-0.567353</v>
      </c>
      <c r="I742" s="84">
        <f t="shared" si="22"/>
        <v>45.566338782798432</v>
      </c>
      <c r="J742" s="85">
        <f t="shared" si="23"/>
        <v>7.0135227180220667</v>
      </c>
    </row>
    <row r="743" spans="7:10" x14ac:dyDescent="0.2">
      <c r="G743" s="82">
        <v>738</v>
      </c>
      <c r="H743" s="83">
        <v>0.34092099999999997</v>
      </c>
      <c r="I743" s="84">
        <f t="shared" si="22"/>
        <v>55.248614917263048</v>
      </c>
      <c r="J743" s="85">
        <f t="shared" si="23"/>
        <v>-2.6687534164425486</v>
      </c>
    </row>
    <row r="744" spans="7:10" x14ac:dyDescent="0.2">
      <c r="G744" s="82">
        <v>739</v>
      </c>
      <c r="H744" s="83">
        <v>0.28260200000000002</v>
      </c>
      <c r="I744" s="84">
        <f t="shared" si="22"/>
        <v>54.569326686919396</v>
      </c>
      <c r="J744" s="85">
        <f t="shared" si="23"/>
        <v>-1.9894651860988972</v>
      </c>
    </row>
    <row r="745" spans="7:10" x14ac:dyDescent="0.2">
      <c r="G745" s="82">
        <v>740</v>
      </c>
      <c r="H745" s="83">
        <v>-0.390399</v>
      </c>
      <c r="I745" s="84">
        <f t="shared" si="22"/>
        <v>47.309298951636691</v>
      </c>
      <c r="J745" s="85">
        <f t="shared" si="23"/>
        <v>5.2705625491838077</v>
      </c>
    </row>
    <row r="746" spans="7:10" x14ac:dyDescent="0.2">
      <c r="G746" s="82">
        <v>741</v>
      </c>
      <c r="H746" s="83">
        <v>3.6609999999999997E-2</v>
      </c>
      <c r="I746" s="84">
        <f t="shared" si="22"/>
        <v>51.794768979061899</v>
      </c>
      <c r="J746" s="85">
        <f t="shared" si="23"/>
        <v>0.78509252175859956</v>
      </c>
    </row>
    <row r="747" spans="7:10" x14ac:dyDescent="0.2">
      <c r="G747" s="82">
        <v>742</v>
      </c>
      <c r="H747" s="83">
        <v>-2.0040979999999999</v>
      </c>
      <c r="I747" s="84">
        <f t="shared" si="22"/>
        <v>33.595415682487065</v>
      </c>
      <c r="J747" s="85">
        <f t="shared" si="23"/>
        <v>18.98444581833343</v>
      </c>
    </row>
    <row r="748" spans="7:10" x14ac:dyDescent="0.2">
      <c r="G748" s="82">
        <v>743</v>
      </c>
      <c r="H748" s="83">
        <v>0.92393700000000001</v>
      </c>
      <c r="I748" s="84">
        <f t="shared" si="22"/>
        <v>62.522071653379321</v>
      </c>
      <c r="J748" s="85">
        <f t="shared" si="23"/>
        <v>-9.9422101525588218</v>
      </c>
    </row>
    <row r="749" spans="7:10" x14ac:dyDescent="0.2">
      <c r="G749" s="82">
        <v>744</v>
      </c>
      <c r="H749" s="83">
        <v>-1.5587800000000001</v>
      </c>
      <c r="I749" s="84">
        <f t="shared" si="22"/>
        <v>36.923781661163233</v>
      </c>
      <c r="J749" s="85">
        <f t="shared" si="23"/>
        <v>15.656079839657266</v>
      </c>
    </row>
    <row r="750" spans="7:10" x14ac:dyDescent="0.2">
      <c r="G750" s="82">
        <v>745</v>
      </c>
      <c r="H750" s="83">
        <v>-1.3178639999999999</v>
      </c>
      <c r="I750" s="84">
        <f t="shared" si="22"/>
        <v>38.859859721651759</v>
      </c>
      <c r="J750" s="85">
        <f t="shared" si="23"/>
        <v>13.72000177916874</v>
      </c>
    </row>
    <row r="751" spans="7:10" x14ac:dyDescent="0.2">
      <c r="G751" s="82">
        <v>746</v>
      </c>
      <c r="H751" s="83">
        <v>0.119253</v>
      </c>
      <c r="I751" s="84">
        <f t="shared" si="22"/>
        <v>52.710800990096608</v>
      </c>
      <c r="J751" s="85">
        <f t="shared" si="23"/>
        <v>-0.1309394892761091</v>
      </c>
    </row>
    <row r="752" spans="7:10" x14ac:dyDescent="0.2">
      <c r="G752" s="82">
        <v>747</v>
      </c>
      <c r="H752" s="83">
        <v>-0.28728399999999998</v>
      </c>
      <c r="I752" s="84">
        <f t="shared" si="22"/>
        <v>48.355543363415251</v>
      </c>
      <c r="J752" s="85">
        <f t="shared" si="23"/>
        <v>4.2243181374052483</v>
      </c>
    </row>
    <row r="753" spans="7:10" x14ac:dyDescent="0.2">
      <c r="G753" s="82">
        <v>748</v>
      </c>
      <c r="H753" s="83">
        <v>-0.58986300000000003</v>
      </c>
      <c r="I753" s="84">
        <f t="shared" si="22"/>
        <v>45.349273983407492</v>
      </c>
      <c r="J753" s="85">
        <f t="shared" si="23"/>
        <v>7.2305875174130065</v>
      </c>
    </row>
    <row r="754" spans="7:10" x14ac:dyDescent="0.2">
      <c r="G754" s="82">
        <v>749</v>
      </c>
      <c r="H754" s="83">
        <v>1.267933</v>
      </c>
      <c r="I754" s="84">
        <f t="shared" si="22"/>
        <v>67.255056963977566</v>
      </c>
      <c r="J754" s="85">
        <f t="shared" si="23"/>
        <v>-14.675195463157067</v>
      </c>
    </row>
    <row r="755" spans="7:10" x14ac:dyDescent="0.2">
      <c r="G755" s="82">
        <v>750</v>
      </c>
      <c r="H755" s="83">
        <v>-0.69384599999999996</v>
      </c>
      <c r="I755" s="84">
        <f t="shared" si="22"/>
        <v>44.359905931890964</v>
      </c>
      <c r="J755" s="85">
        <f t="shared" si="23"/>
        <v>8.2199555689295352</v>
      </c>
    </row>
    <row r="756" spans="7:10" x14ac:dyDescent="0.2">
      <c r="G756" s="82">
        <v>751</v>
      </c>
      <c r="H756" s="83">
        <v>-0.64713500000000002</v>
      </c>
      <c r="I756" s="84">
        <f t="shared" si="22"/>
        <v>44.801648757889403</v>
      </c>
      <c r="J756" s="85">
        <f t="shared" si="23"/>
        <v>7.7782127429310961</v>
      </c>
    </row>
    <row r="757" spans="7:10" x14ac:dyDescent="0.2">
      <c r="G757" s="82">
        <v>752</v>
      </c>
      <c r="H757" s="83">
        <v>-1.504435</v>
      </c>
      <c r="I757" s="84">
        <f t="shared" si="22"/>
        <v>37.351913741377743</v>
      </c>
      <c r="J757" s="85">
        <f t="shared" si="23"/>
        <v>15.227947759442756</v>
      </c>
    </row>
    <row r="758" spans="7:10" x14ac:dyDescent="0.2">
      <c r="G758" s="82">
        <v>753</v>
      </c>
      <c r="H758" s="83">
        <v>1.787506</v>
      </c>
      <c r="I758" s="84">
        <f t="shared" si="22"/>
        <v>75.091719244266642</v>
      </c>
      <c r="J758" s="85">
        <f t="shared" si="23"/>
        <v>-22.511857743446143</v>
      </c>
    </row>
    <row r="759" spans="7:10" x14ac:dyDescent="0.2">
      <c r="G759" s="82">
        <v>754</v>
      </c>
      <c r="H759" s="83">
        <v>-0.44034600000000002</v>
      </c>
      <c r="I759" s="84">
        <f t="shared" si="22"/>
        <v>46.810686113974114</v>
      </c>
      <c r="J759" s="85">
        <f t="shared" si="23"/>
        <v>5.7691753868463849</v>
      </c>
    </row>
    <row r="760" spans="7:10" x14ac:dyDescent="0.2">
      <c r="G760" s="82">
        <v>755</v>
      </c>
      <c r="H760" s="83">
        <v>-0.185582</v>
      </c>
      <c r="I760" s="84">
        <f t="shared" si="22"/>
        <v>49.410112920292299</v>
      </c>
      <c r="J760" s="85">
        <f t="shared" si="23"/>
        <v>3.1697485805282</v>
      </c>
    </row>
    <row r="761" spans="7:10" x14ac:dyDescent="0.2">
      <c r="G761" s="82">
        <v>756</v>
      </c>
      <c r="H761" s="83">
        <v>-0.76442900000000003</v>
      </c>
      <c r="I761" s="84">
        <f t="shared" si="22"/>
        <v>43.700656572781405</v>
      </c>
      <c r="J761" s="85">
        <f t="shared" si="23"/>
        <v>8.8792049280390941</v>
      </c>
    </row>
    <row r="762" spans="7:10" x14ac:dyDescent="0.2">
      <c r="G762" s="82">
        <v>757</v>
      </c>
      <c r="H762" s="83">
        <v>1.463244</v>
      </c>
      <c r="I762" s="84">
        <f t="shared" si="22"/>
        <v>70.100079764505267</v>
      </c>
      <c r="J762" s="85">
        <f t="shared" si="23"/>
        <v>-17.520218263684768</v>
      </c>
    </row>
    <row r="763" spans="7:10" x14ac:dyDescent="0.2">
      <c r="G763" s="82">
        <v>758</v>
      </c>
      <c r="H763" s="83">
        <v>0.98527699999999996</v>
      </c>
      <c r="I763" s="84">
        <f t="shared" si="22"/>
        <v>63.340936091788926</v>
      </c>
      <c r="J763" s="85">
        <f t="shared" si="23"/>
        <v>-10.761074590968427</v>
      </c>
    </row>
    <row r="764" spans="7:10" x14ac:dyDescent="0.2">
      <c r="G764" s="82">
        <v>759</v>
      </c>
      <c r="H764" s="83">
        <v>0.85065800000000003</v>
      </c>
      <c r="I764" s="84">
        <f t="shared" si="22"/>
        <v>61.557692068903016</v>
      </c>
      <c r="J764" s="85">
        <f t="shared" si="23"/>
        <v>-8.977830568082517</v>
      </c>
    </row>
    <row r="765" spans="7:10" x14ac:dyDescent="0.2">
      <c r="G765" s="82">
        <v>760</v>
      </c>
      <c r="H765" s="83">
        <v>-0.35633700000000001</v>
      </c>
      <c r="I765" s="84">
        <f t="shared" si="22"/>
        <v>47.65237696525196</v>
      </c>
      <c r="J765" s="85">
        <f t="shared" si="23"/>
        <v>4.9274845355685395</v>
      </c>
    </row>
    <row r="766" spans="7:10" x14ac:dyDescent="0.2">
      <c r="G766" s="82">
        <v>761</v>
      </c>
      <c r="H766" s="83">
        <v>2.0970710000000001</v>
      </c>
      <c r="I766" s="84">
        <f t="shared" si="22"/>
        <v>80.188406161653347</v>
      </c>
      <c r="J766" s="85">
        <f t="shared" si="23"/>
        <v>-27.608544660832848</v>
      </c>
    </row>
    <row r="767" spans="7:10" x14ac:dyDescent="0.2">
      <c r="G767" s="82">
        <v>762</v>
      </c>
      <c r="H767" s="83">
        <v>-1.0010159999999999</v>
      </c>
      <c r="I767" s="84">
        <f t="shared" si="22"/>
        <v>41.561549331411356</v>
      </c>
      <c r="J767" s="85">
        <f t="shared" si="23"/>
        <v>11.018312169409143</v>
      </c>
    </row>
    <row r="768" spans="7:10" x14ac:dyDescent="0.2">
      <c r="G768" s="82">
        <v>763</v>
      </c>
      <c r="H768" s="83">
        <v>-0.76514499999999996</v>
      </c>
      <c r="I768" s="84">
        <f t="shared" si="22"/>
        <v>43.694019535458537</v>
      </c>
      <c r="J768" s="85">
        <f t="shared" si="23"/>
        <v>8.885841965361962</v>
      </c>
    </row>
    <row r="769" spans="7:10" x14ac:dyDescent="0.2">
      <c r="G769" s="82">
        <v>764</v>
      </c>
      <c r="H769" s="83">
        <v>0.84676300000000004</v>
      </c>
      <c r="I769" s="84">
        <f t="shared" si="22"/>
        <v>61.506850769557666</v>
      </c>
      <c r="J769" s="85">
        <f t="shared" si="23"/>
        <v>-8.9269892687371666</v>
      </c>
    </row>
    <row r="770" spans="7:10" x14ac:dyDescent="0.2">
      <c r="G770" s="82">
        <v>765</v>
      </c>
      <c r="H770" s="83">
        <v>0.423734</v>
      </c>
      <c r="I770" s="84">
        <f t="shared" si="22"/>
        <v>56.227758636453586</v>
      </c>
      <c r="J770" s="85">
        <f t="shared" si="23"/>
        <v>-3.6478971356330874</v>
      </c>
    </row>
    <row r="771" spans="7:10" x14ac:dyDescent="0.2">
      <c r="G771" s="82">
        <v>766</v>
      </c>
      <c r="H771" s="83">
        <v>0.22631000000000001</v>
      </c>
      <c r="I771" s="84">
        <f t="shared" si="22"/>
        <v>53.921571225767138</v>
      </c>
      <c r="J771" s="85">
        <f t="shared" si="23"/>
        <v>-1.3417097249466394</v>
      </c>
    </row>
    <row r="772" spans="7:10" x14ac:dyDescent="0.2">
      <c r="G772" s="82">
        <v>767</v>
      </c>
      <c r="H772" s="83">
        <v>0.56152199999999997</v>
      </c>
      <c r="I772" s="84">
        <f t="shared" si="22"/>
        <v>57.895508584308374</v>
      </c>
      <c r="J772" s="85">
        <f t="shared" si="23"/>
        <v>-5.3156470834878746</v>
      </c>
    </row>
    <row r="773" spans="7:10" x14ac:dyDescent="0.2">
      <c r="G773" s="82">
        <v>768</v>
      </c>
      <c r="H773" s="83">
        <v>0.45862799999999998</v>
      </c>
      <c r="I773" s="84">
        <f t="shared" si="22"/>
        <v>56.645508320649817</v>
      </c>
      <c r="J773" s="85">
        <f t="shared" si="23"/>
        <v>-4.0656468198293183</v>
      </c>
    </row>
    <row r="774" spans="7:10" x14ac:dyDescent="0.2">
      <c r="G774" s="82">
        <v>769</v>
      </c>
      <c r="H774" s="83">
        <v>-0.59006499999999995</v>
      </c>
      <c r="I774" s="84">
        <f t="shared" ref="I774:I837" si="24">$C$8*EXP(($C$11-$C$12^2/2)*$C$14+H774*$C$12*SQRT($C$14))</f>
        <v>45.347330778224787</v>
      </c>
      <c r="J774" s="85">
        <f t="shared" ref="J774:J837" si="25">($C$9*EXP(-$C$10*($C$13-$C$14))-I774)*$C$15/1000000</f>
        <v>7.2325307225957118</v>
      </c>
    </row>
    <row r="775" spans="7:10" x14ac:dyDescent="0.2">
      <c r="G775" s="82">
        <v>770</v>
      </c>
      <c r="H775" s="83">
        <v>0.123013</v>
      </c>
      <c r="I775" s="84">
        <f t="shared" si="24"/>
        <v>52.752860763569423</v>
      </c>
      <c r="J775" s="85">
        <f t="shared" si="25"/>
        <v>-0.17299926274892385</v>
      </c>
    </row>
    <row r="776" spans="7:10" x14ac:dyDescent="0.2">
      <c r="G776" s="82">
        <v>771</v>
      </c>
      <c r="H776" s="83">
        <v>0.506629</v>
      </c>
      <c r="I776" s="84">
        <f t="shared" si="24"/>
        <v>57.225250647379035</v>
      </c>
      <c r="J776" s="85">
        <f t="shared" si="25"/>
        <v>-4.6453891465585349</v>
      </c>
    </row>
    <row r="777" spans="7:10" x14ac:dyDescent="0.2">
      <c r="G777" s="82">
        <v>772</v>
      </c>
      <c r="H777" s="83">
        <v>8.7904999999999997E-2</v>
      </c>
      <c r="I777" s="84">
        <f t="shared" si="24"/>
        <v>52.361441536013629</v>
      </c>
      <c r="J777" s="85">
        <f t="shared" si="25"/>
        <v>0.21841996480686987</v>
      </c>
    </row>
    <row r="778" spans="7:10" x14ac:dyDescent="0.2">
      <c r="G778" s="82">
        <v>773</v>
      </c>
      <c r="H778" s="83">
        <v>-0.16073399999999999</v>
      </c>
      <c r="I778" s="84">
        <f t="shared" si="24"/>
        <v>49.671244045368248</v>
      </c>
      <c r="J778" s="85">
        <f t="shared" si="25"/>
        <v>2.908617455452251</v>
      </c>
    </row>
    <row r="779" spans="7:10" x14ac:dyDescent="0.2">
      <c r="G779" s="82">
        <v>774</v>
      </c>
      <c r="H779" s="83">
        <v>-0.58860000000000001</v>
      </c>
      <c r="I779" s="84">
        <f t="shared" si="24"/>
        <v>45.361425713819415</v>
      </c>
      <c r="J779" s="85">
        <f t="shared" si="25"/>
        <v>7.2184357870010842</v>
      </c>
    </row>
    <row r="780" spans="7:10" x14ac:dyDescent="0.2">
      <c r="G780" s="82">
        <v>775</v>
      </c>
      <c r="H780" s="83">
        <v>-2.2338E-2</v>
      </c>
      <c r="I780" s="84">
        <f t="shared" si="24"/>
        <v>51.15112058842216</v>
      </c>
      <c r="J780" s="85">
        <f t="shared" si="25"/>
        <v>1.4287409123983394</v>
      </c>
    </row>
    <row r="781" spans="7:10" x14ac:dyDescent="0.2">
      <c r="G781" s="82">
        <v>776</v>
      </c>
      <c r="H781" s="83">
        <v>0.41203000000000001</v>
      </c>
      <c r="I781" s="84">
        <f t="shared" si="24"/>
        <v>56.088329890347779</v>
      </c>
      <c r="J781" s="85">
        <f t="shared" si="25"/>
        <v>-3.5084683895272804</v>
      </c>
    </row>
    <row r="782" spans="7:10" x14ac:dyDescent="0.2">
      <c r="G782" s="82">
        <v>777</v>
      </c>
      <c r="H782" s="83">
        <v>-1.552238</v>
      </c>
      <c r="I782" s="84">
        <f t="shared" si="24"/>
        <v>36.97505886745072</v>
      </c>
      <c r="J782" s="85">
        <f t="shared" si="25"/>
        <v>15.604802633369779</v>
      </c>
    </row>
    <row r="783" spans="7:10" x14ac:dyDescent="0.2">
      <c r="G783" s="82">
        <v>778</v>
      </c>
      <c r="H783" s="83">
        <v>0.58260999999999996</v>
      </c>
      <c r="I783" s="84">
        <f t="shared" si="24"/>
        <v>58.155080845582837</v>
      </c>
      <c r="J783" s="85">
        <f t="shared" si="25"/>
        <v>-5.5752193447623384</v>
      </c>
    </row>
    <row r="784" spans="7:10" x14ac:dyDescent="0.2">
      <c r="G784" s="82">
        <v>779</v>
      </c>
      <c r="H784" s="83">
        <v>0.399034</v>
      </c>
      <c r="I784" s="84">
        <f t="shared" si="24"/>
        <v>55.933914721983669</v>
      </c>
      <c r="J784" s="85">
        <f t="shared" si="25"/>
        <v>-3.35405322116317</v>
      </c>
    </row>
    <row r="785" spans="7:10" x14ac:dyDescent="0.2">
      <c r="G785" s="82">
        <v>780</v>
      </c>
      <c r="H785" s="83">
        <v>0.67463600000000001</v>
      </c>
      <c r="I785" s="84">
        <f t="shared" si="24"/>
        <v>59.301518488107774</v>
      </c>
      <c r="J785" s="85">
        <f t="shared" si="25"/>
        <v>-6.7216569872872753</v>
      </c>
    </row>
    <row r="786" spans="7:10" x14ac:dyDescent="0.2">
      <c r="G786" s="82">
        <v>781</v>
      </c>
      <c r="H786" s="83">
        <v>-1.464737</v>
      </c>
      <c r="I786" s="84">
        <f t="shared" si="24"/>
        <v>37.667790497716219</v>
      </c>
      <c r="J786" s="85">
        <f t="shared" si="25"/>
        <v>14.91207100310428</v>
      </c>
    </row>
    <row r="787" spans="7:10" x14ac:dyDescent="0.2">
      <c r="G787" s="82">
        <v>782</v>
      </c>
      <c r="H787" s="83">
        <v>1.792548</v>
      </c>
      <c r="I787" s="84">
        <f t="shared" si="24"/>
        <v>75.172078040191096</v>
      </c>
      <c r="J787" s="85">
        <f t="shared" si="25"/>
        <v>-22.592216539370597</v>
      </c>
    </row>
    <row r="788" spans="7:10" x14ac:dyDescent="0.2">
      <c r="G788" s="82">
        <v>783</v>
      </c>
      <c r="H788" s="83">
        <v>-1.1924920000000001</v>
      </c>
      <c r="I788" s="84">
        <f t="shared" si="24"/>
        <v>39.907219665101437</v>
      </c>
      <c r="J788" s="85">
        <f t="shared" si="25"/>
        <v>12.672641835719062</v>
      </c>
    </row>
    <row r="789" spans="7:10" x14ac:dyDescent="0.2">
      <c r="G789" s="82">
        <v>784</v>
      </c>
      <c r="H789" s="83">
        <v>0.34464</v>
      </c>
      <c r="I789" s="84">
        <f t="shared" si="24"/>
        <v>55.292218798975789</v>
      </c>
      <c r="J789" s="85">
        <f t="shared" si="25"/>
        <v>-2.7123572981552897</v>
      </c>
    </row>
    <row r="790" spans="7:10" x14ac:dyDescent="0.2">
      <c r="G790" s="82">
        <v>785</v>
      </c>
      <c r="H790" s="83">
        <v>0.27084900000000001</v>
      </c>
      <c r="I790" s="84">
        <f t="shared" si="24"/>
        <v>54.433444567588872</v>
      </c>
      <c r="J790" s="85">
        <f t="shared" si="25"/>
        <v>-1.8535830667683726</v>
      </c>
    </row>
    <row r="791" spans="7:10" x14ac:dyDescent="0.2">
      <c r="G791" s="82">
        <v>786</v>
      </c>
      <c r="H791" s="83">
        <v>-1.105127</v>
      </c>
      <c r="I791" s="84">
        <f t="shared" si="24"/>
        <v>40.653712762603647</v>
      </c>
      <c r="J791" s="85">
        <f t="shared" si="25"/>
        <v>11.926148738216853</v>
      </c>
    </row>
    <row r="792" spans="7:10" x14ac:dyDescent="0.2">
      <c r="G792" s="82">
        <v>787</v>
      </c>
      <c r="H792" s="83">
        <v>0.39532400000000001</v>
      </c>
      <c r="I792" s="84">
        <f t="shared" si="24"/>
        <v>55.889911498046963</v>
      </c>
      <c r="J792" s="85">
        <f t="shared" si="25"/>
        <v>-3.3100499972264643</v>
      </c>
    </row>
    <row r="793" spans="7:10" x14ac:dyDescent="0.2">
      <c r="G793" s="82">
        <v>788</v>
      </c>
      <c r="H793" s="83">
        <v>-0.42184100000000002</v>
      </c>
      <c r="I793" s="84">
        <f t="shared" si="24"/>
        <v>46.994802755402645</v>
      </c>
      <c r="J793" s="85">
        <f t="shared" si="25"/>
        <v>5.5850587454178537</v>
      </c>
    </row>
    <row r="794" spans="7:10" x14ac:dyDescent="0.2">
      <c r="G794" s="82">
        <v>789</v>
      </c>
      <c r="H794" s="83">
        <v>-0.96905600000000003</v>
      </c>
      <c r="I794" s="84">
        <f t="shared" si="24"/>
        <v>41.844283170259992</v>
      </c>
      <c r="J794" s="85">
        <f t="shared" si="25"/>
        <v>10.735578330560507</v>
      </c>
    </row>
    <row r="795" spans="7:10" x14ac:dyDescent="0.2">
      <c r="G795" s="82">
        <v>790</v>
      </c>
      <c r="H795" s="83">
        <v>-0.11271100000000001</v>
      </c>
      <c r="I795" s="84">
        <f t="shared" si="24"/>
        <v>50.179841971665375</v>
      </c>
      <c r="J795" s="85">
        <f t="shared" si="25"/>
        <v>2.4000195291551236</v>
      </c>
    </row>
    <row r="796" spans="7:10" x14ac:dyDescent="0.2">
      <c r="G796" s="82">
        <v>791</v>
      </c>
      <c r="H796" s="83">
        <v>0.3579</v>
      </c>
      <c r="I796" s="84">
        <f t="shared" si="24"/>
        <v>55.447967613301863</v>
      </c>
      <c r="J796" s="85">
        <f t="shared" si="25"/>
        <v>-2.8681061124813643</v>
      </c>
    </row>
    <row r="797" spans="7:10" x14ac:dyDescent="0.2">
      <c r="G797" s="82">
        <v>792</v>
      </c>
      <c r="H797" s="83">
        <v>0.38589499999999999</v>
      </c>
      <c r="I797" s="84">
        <f t="shared" si="24"/>
        <v>55.778232617871872</v>
      </c>
      <c r="J797" s="85">
        <f t="shared" si="25"/>
        <v>-3.1983711170513729</v>
      </c>
    </row>
    <row r="798" spans="7:10" x14ac:dyDescent="0.2">
      <c r="G798" s="82">
        <v>793</v>
      </c>
      <c r="H798" s="83">
        <v>-1.115229</v>
      </c>
      <c r="I798" s="84">
        <f t="shared" si="24"/>
        <v>40.566686851022624</v>
      </c>
      <c r="J798" s="85">
        <f t="shared" si="25"/>
        <v>12.013174649797875</v>
      </c>
    </row>
    <row r="799" spans="7:10" x14ac:dyDescent="0.2">
      <c r="G799" s="82">
        <v>794</v>
      </c>
      <c r="H799" s="83">
        <v>-0.19487599999999999</v>
      </c>
      <c r="I799" s="84">
        <f t="shared" si="24"/>
        <v>49.312794125031914</v>
      </c>
      <c r="J799" s="85">
        <f t="shared" si="25"/>
        <v>3.2670673757885851</v>
      </c>
    </row>
    <row r="800" spans="7:10" x14ac:dyDescent="0.2">
      <c r="G800" s="82">
        <v>795</v>
      </c>
      <c r="H800" s="83">
        <v>1.464599</v>
      </c>
      <c r="I800" s="84">
        <f t="shared" si="24"/>
        <v>70.120232150933219</v>
      </c>
      <c r="J800" s="85">
        <f t="shared" si="25"/>
        <v>-17.54037065011272</v>
      </c>
    </row>
    <row r="801" spans="7:10" x14ac:dyDescent="0.2">
      <c r="G801" s="82">
        <v>796</v>
      </c>
      <c r="H801" s="83">
        <v>-0.38637899999999997</v>
      </c>
      <c r="I801" s="84">
        <f t="shared" si="24"/>
        <v>47.349660146293303</v>
      </c>
      <c r="J801" s="85">
        <f t="shared" si="25"/>
        <v>5.2302013545271961</v>
      </c>
    </row>
    <row r="802" spans="7:10" x14ac:dyDescent="0.2">
      <c r="G802" s="82">
        <v>797</v>
      </c>
      <c r="H802" s="83">
        <v>0.64328600000000002</v>
      </c>
      <c r="I802" s="84">
        <f t="shared" si="24"/>
        <v>58.908451732837207</v>
      </c>
      <c r="J802" s="85">
        <f t="shared" si="25"/>
        <v>-6.3285902320167073</v>
      </c>
    </row>
    <row r="803" spans="7:10" x14ac:dyDescent="0.2">
      <c r="G803" s="82">
        <v>798</v>
      </c>
      <c r="H803" s="83">
        <v>-5.7457000000000001E-2</v>
      </c>
      <c r="I803" s="84">
        <f t="shared" si="24"/>
        <v>50.771467587505249</v>
      </c>
      <c r="J803" s="85">
        <f t="shared" si="25"/>
        <v>1.8083939133152498</v>
      </c>
    </row>
    <row r="804" spans="7:10" x14ac:dyDescent="0.2">
      <c r="G804" s="82">
        <v>799</v>
      </c>
      <c r="H804" s="83">
        <v>-0.55473399999999995</v>
      </c>
      <c r="I804" s="84">
        <f t="shared" si="24"/>
        <v>45.688478452685509</v>
      </c>
      <c r="J804" s="85">
        <f t="shared" si="25"/>
        <v>6.8913830481349905</v>
      </c>
    </row>
    <row r="805" spans="7:10" x14ac:dyDescent="0.2">
      <c r="G805" s="82">
        <v>800</v>
      </c>
      <c r="H805" s="83">
        <v>0.25806800000000002</v>
      </c>
      <c r="I805" s="84">
        <f t="shared" si="24"/>
        <v>54.28606125967702</v>
      </c>
      <c r="J805" s="85">
        <f t="shared" si="25"/>
        <v>-1.7061997588565205</v>
      </c>
    </row>
    <row r="806" spans="7:10" x14ac:dyDescent="0.2">
      <c r="G806" s="82">
        <v>801</v>
      </c>
      <c r="H806" s="83">
        <v>-0.16869500000000001</v>
      </c>
      <c r="I806" s="84">
        <f t="shared" si="24"/>
        <v>49.587430877652629</v>
      </c>
      <c r="J806" s="85">
        <f t="shared" si="25"/>
        <v>2.9924306231678699</v>
      </c>
    </row>
    <row r="807" spans="7:10" x14ac:dyDescent="0.2">
      <c r="G807" s="82">
        <v>802</v>
      </c>
      <c r="H807" s="83">
        <v>-2.0709999999999999E-3</v>
      </c>
      <c r="I807" s="84">
        <f t="shared" si="24"/>
        <v>51.371506987037897</v>
      </c>
      <c r="J807" s="85">
        <f t="shared" si="25"/>
        <v>1.2083545137826022</v>
      </c>
    </row>
    <row r="808" spans="7:10" x14ac:dyDescent="0.2">
      <c r="G808" s="82">
        <v>803</v>
      </c>
      <c r="H808" s="83">
        <v>1.044332</v>
      </c>
      <c r="I808" s="84">
        <f t="shared" si="24"/>
        <v>64.139428057586201</v>
      </c>
      <c r="J808" s="85">
        <f t="shared" si="25"/>
        <v>-11.559566556765702</v>
      </c>
    </row>
    <row r="809" spans="7:10" x14ac:dyDescent="0.2">
      <c r="G809" s="82">
        <v>804</v>
      </c>
      <c r="H809" s="83">
        <v>0.57633400000000001</v>
      </c>
      <c r="I809" s="84">
        <f t="shared" si="24"/>
        <v>58.07770813873082</v>
      </c>
      <c r="J809" s="85">
        <f t="shared" si="25"/>
        <v>-5.497846637910321</v>
      </c>
    </row>
    <row r="810" spans="7:10" x14ac:dyDescent="0.2">
      <c r="G810" s="82">
        <v>805</v>
      </c>
      <c r="H810" s="83">
        <v>1.142277</v>
      </c>
      <c r="I810" s="84">
        <f t="shared" si="24"/>
        <v>65.48601112598918</v>
      </c>
      <c r="J810" s="85">
        <f t="shared" si="25"/>
        <v>-12.90614962516868</v>
      </c>
    </row>
    <row r="811" spans="7:10" x14ac:dyDescent="0.2">
      <c r="G811" s="82">
        <v>806</v>
      </c>
      <c r="H811" s="83">
        <v>1.9710669999999999</v>
      </c>
      <c r="I811" s="84">
        <f t="shared" si="24"/>
        <v>78.07340375896041</v>
      </c>
      <c r="J811" s="85">
        <f t="shared" si="25"/>
        <v>-25.493542258139911</v>
      </c>
    </row>
    <row r="812" spans="7:10" x14ac:dyDescent="0.2">
      <c r="G812" s="82">
        <v>807</v>
      </c>
      <c r="H812" s="83">
        <v>0.32369500000000001</v>
      </c>
      <c r="I812" s="84">
        <f t="shared" si="24"/>
        <v>55.047094599345691</v>
      </c>
      <c r="J812" s="85">
        <f t="shared" si="25"/>
        <v>-2.4672330985251918</v>
      </c>
    </row>
    <row r="813" spans="7:10" x14ac:dyDescent="0.2">
      <c r="G813" s="82">
        <v>808</v>
      </c>
      <c r="H813" s="83">
        <v>-2.0517050000000001</v>
      </c>
      <c r="I813" s="84">
        <f t="shared" si="24"/>
        <v>33.25784402746693</v>
      </c>
      <c r="J813" s="85">
        <f t="shared" si="25"/>
        <v>19.322017473353569</v>
      </c>
    </row>
    <row r="814" spans="7:10" x14ac:dyDescent="0.2">
      <c r="G814" s="82">
        <v>809</v>
      </c>
      <c r="H814" s="83">
        <v>1.4766349999999999</v>
      </c>
      <c r="I814" s="84">
        <f t="shared" si="24"/>
        <v>70.299493361166682</v>
      </c>
      <c r="J814" s="85">
        <f t="shared" si="25"/>
        <v>-17.719631860346183</v>
      </c>
    </row>
    <row r="815" spans="7:10" x14ac:dyDescent="0.2">
      <c r="G815" s="82">
        <v>810</v>
      </c>
      <c r="H815" s="83">
        <v>-1.8055559999999999</v>
      </c>
      <c r="I815" s="84">
        <f t="shared" si="24"/>
        <v>35.040577181402917</v>
      </c>
      <c r="J815" s="85">
        <f t="shared" si="25"/>
        <v>17.539284319417582</v>
      </c>
    </row>
    <row r="816" spans="7:10" x14ac:dyDescent="0.2">
      <c r="G816" s="82">
        <v>811</v>
      </c>
      <c r="H816" s="83">
        <v>0.390125</v>
      </c>
      <c r="I816" s="84">
        <f t="shared" si="24"/>
        <v>55.828305920685025</v>
      </c>
      <c r="J816" s="85">
        <f t="shared" si="25"/>
        <v>-3.2484444198645264</v>
      </c>
    </row>
    <row r="817" spans="7:10" x14ac:dyDescent="0.2">
      <c r="G817" s="82">
        <v>812</v>
      </c>
      <c r="H817" s="83">
        <v>-1.591296</v>
      </c>
      <c r="I817" s="84">
        <f t="shared" si="24"/>
        <v>36.669969402652882</v>
      </c>
      <c r="J817" s="85">
        <f t="shared" si="25"/>
        <v>15.909892098167617</v>
      </c>
    </row>
    <row r="818" spans="7:10" x14ac:dyDescent="0.2">
      <c r="G818" s="82">
        <v>813</v>
      </c>
      <c r="H818" s="83">
        <v>1.007047</v>
      </c>
      <c r="I818" s="84">
        <f t="shared" si="24"/>
        <v>63.634128256501356</v>
      </c>
      <c r="J818" s="85">
        <f t="shared" si="25"/>
        <v>-11.054266755680857</v>
      </c>
    </row>
    <row r="819" spans="7:10" x14ac:dyDescent="0.2">
      <c r="G819" s="82">
        <v>814</v>
      </c>
      <c r="H819" s="83">
        <v>-5.2275000000000002E-2</v>
      </c>
      <c r="I819" s="84">
        <f t="shared" si="24"/>
        <v>50.82730973451973</v>
      </c>
      <c r="J819" s="85">
        <f t="shared" si="25"/>
        <v>1.752551766300769</v>
      </c>
    </row>
    <row r="820" spans="7:10" x14ac:dyDescent="0.2">
      <c r="G820" s="82">
        <v>815</v>
      </c>
      <c r="H820" s="83">
        <v>1.565728</v>
      </c>
      <c r="I820" s="84">
        <f t="shared" si="24"/>
        <v>71.640751802968779</v>
      </c>
      <c r="J820" s="85">
        <f t="shared" si="25"/>
        <v>-19.06089030214828</v>
      </c>
    </row>
    <row r="821" spans="7:10" x14ac:dyDescent="0.2">
      <c r="G821" s="82">
        <v>816</v>
      </c>
      <c r="H821" s="83">
        <v>0.57415499999999997</v>
      </c>
      <c r="I821" s="84">
        <f t="shared" si="24"/>
        <v>58.050868752027981</v>
      </c>
      <c r="J821" s="85">
        <f t="shared" si="25"/>
        <v>-5.4710072512074817</v>
      </c>
    </row>
    <row r="822" spans="7:10" x14ac:dyDescent="0.2">
      <c r="G822" s="82">
        <v>817</v>
      </c>
      <c r="H822" s="83">
        <v>-1.2062619999999999</v>
      </c>
      <c r="I822" s="84">
        <f t="shared" si="24"/>
        <v>39.790818447455635</v>
      </c>
      <c r="J822" s="85">
        <f t="shared" si="25"/>
        <v>12.789043053364864</v>
      </c>
    </row>
    <row r="823" spans="7:10" x14ac:dyDescent="0.2">
      <c r="G823" s="82">
        <v>818</v>
      </c>
      <c r="H823" s="83">
        <v>-0.46825600000000001</v>
      </c>
      <c r="I823" s="84">
        <f t="shared" si="24"/>
        <v>46.534357351949907</v>
      </c>
      <c r="J823" s="85">
        <f t="shared" si="25"/>
        <v>6.0455041488705916</v>
      </c>
    </row>
    <row r="824" spans="7:10" x14ac:dyDescent="0.2">
      <c r="G824" s="82">
        <v>819</v>
      </c>
      <c r="H824" s="83">
        <v>-1.092994</v>
      </c>
      <c r="I824" s="84">
        <f t="shared" si="24"/>
        <v>40.758481975658171</v>
      </c>
      <c r="J824" s="85">
        <f t="shared" si="25"/>
        <v>11.821379525162328</v>
      </c>
    </row>
    <row r="825" spans="7:10" x14ac:dyDescent="0.2">
      <c r="G825" s="82">
        <v>820</v>
      </c>
      <c r="H825" s="83">
        <v>1.155273</v>
      </c>
      <c r="I825" s="84">
        <f t="shared" si="24"/>
        <v>65.666796495362561</v>
      </c>
      <c r="J825" s="85">
        <f t="shared" si="25"/>
        <v>-13.086934994542062</v>
      </c>
    </row>
    <row r="826" spans="7:10" x14ac:dyDescent="0.2">
      <c r="G826" s="82">
        <v>821</v>
      </c>
      <c r="H826" s="83">
        <v>0.60894999999999999</v>
      </c>
      <c r="I826" s="84">
        <f t="shared" si="24"/>
        <v>58.480935237631847</v>
      </c>
      <c r="J826" s="85">
        <f t="shared" si="25"/>
        <v>-5.9010737368113482</v>
      </c>
    </row>
    <row r="827" spans="7:10" x14ac:dyDescent="0.2">
      <c r="G827" s="82">
        <v>822</v>
      </c>
      <c r="H827" s="83">
        <v>0.385241</v>
      </c>
      <c r="I827" s="84">
        <f t="shared" si="24"/>
        <v>55.77049479776246</v>
      </c>
      <c r="J827" s="85">
        <f t="shared" si="25"/>
        <v>-3.1906332969419609</v>
      </c>
    </row>
    <row r="828" spans="7:10" x14ac:dyDescent="0.2">
      <c r="G828" s="82">
        <v>823</v>
      </c>
      <c r="H828" s="83">
        <v>-1.3811640000000001</v>
      </c>
      <c r="I828" s="84">
        <f t="shared" si="24"/>
        <v>38.341538949081603</v>
      </c>
      <c r="J828" s="85">
        <f t="shared" si="25"/>
        <v>14.238322551738896</v>
      </c>
    </row>
    <row r="829" spans="7:10" x14ac:dyDescent="0.2">
      <c r="G829" s="82">
        <v>824</v>
      </c>
      <c r="H829" s="83">
        <v>1.9691829999999999</v>
      </c>
      <c r="I829" s="84">
        <f t="shared" si="24"/>
        <v>78.042207430266743</v>
      </c>
      <c r="J829" s="85">
        <f t="shared" si="25"/>
        <v>-25.462345929446244</v>
      </c>
    </row>
    <row r="830" spans="7:10" x14ac:dyDescent="0.2">
      <c r="G830" s="82">
        <v>825</v>
      </c>
      <c r="H830" s="83">
        <v>-1.205991</v>
      </c>
      <c r="I830" s="84">
        <f t="shared" si="24"/>
        <v>39.793105999077206</v>
      </c>
      <c r="J830" s="85">
        <f t="shared" si="25"/>
        <v>12.786755501743293</v>
      </c>
    </row>
    <row r="831" spans="7:10" x14ac:dyDescent="0.2">
      <c r="G831" s="82">
        <v>826</v>
      </c>
      <c r="H831" s="83">
        <v>-1.0542800000000001</v>
      </c>
      <c r="I831" s="84">
        <f t="shared" si="24"/>
        <v>41.094588421124456</v>
      </c>
      <c r="J831" s="85">
        <f t="shared" si="25"/>
        <v>11.485273079696043</v>
      </c>
    </row>
    <row r="832" spans="7:10" x14ac:dyDescent="0.2">
      <c r="G832" s="82">
        <v>827</v>
      </c>
      <c r="H832" s="83">
        <v>1.3927700000000001</v>
      </c>
      <c r="I832" s="84">
        <f t="shared" si="24"/>
        <v>69.05989274688234</v>
      </c>
      <c r="J832" s="85">
        <f t="shared" si="25"/>
        <v>-16.480031246061841</v>
      </c>
    </row>
    <row r="833" spans="7:10" x14ac:dyDescent="0.2">
      <c r="G833" s="82">
        <v>828</v>
      </c>
      <c r="H833" s="83">
        <v>-0.28808499999999998</v>
      </c>
      <c r="I833" s="84">
        <f t="shared" si="24"/>
        <v>48.347327595848782</v>
      </c>
      <c r="J833" s="85">
        <f t="shared" si="25"/>
        <v>4.2325339049717172</v>
      </c>
    </row>
    <row r="834" spans="7:10" x14ac:dyDescent="0.2">
      <c r="G834" s="82">
        <v>829</v>
      </c>
      <c r="H834" s="83">
        <v>0.53188000000000002</v>
      </c>
      <c r="I834" s="84">
        <f t="shared" si="24"/>
        <v>57.532602772811316</v>
      </c>
      <c r="J834" s="85">
        <f t="shared" si="25"/>
        <v>-4.952741271990817</v>
      </c>
    </row>
    <row r="835" spans="7:10" x14ac:dyDescent="0.2">
      <c r="G835" s="82">
        <v>830</v>
      </c>
      <c r="H835" s="83">
        <v>0.52867399999999998</v>
      </c>
      <c r="I835" s="84">
        <f t="shared" si="24"/>
        <v>57.493488422196016</v>
      </c>
      <c r="J835" s="85">
        <f t="shared" si="25"/>
        <v>-4.913626921375517</v>
      </c>
    </row>
    <row r="836" spans="7:10" x14ac:dyDescent="0.2">
      <c r="G836" s="82">
        <v>831</v>
      </c>
      <c r="H836" s="83">
        <v>-0.46160099999999998</v>
      </c>
      <c r="I836" s="84">
        <f t="shared" si="24"/>
        <v>46.600098098033463</v>
      </c>
      <c r="J836" s="85">
        <f t="shared" si="25"/>
        <v>5.9797634027870359</v>
      </c>
    </row>
    <row r="837" spans="7:10" x14ac:dyDescent="0.2">
      <c r="G837" s="82">
        <v>832</v>
      </c>
      <c r="H837" s="83">
        <v>4.0822999999999998E-2</v>
      </c>
      <c r="I837" s="84">
        <f t="shared" si="24"/>
        <v>51.84107929010473</v>
      </c>
      <c r="J837" s="85">
        <f t="shared" si="25"/>
        <v>0.73878221071576888</v>
      </c>
    </row>
    <row r="838" spans="7:10" x14ac:dyDescent="0.2">
      <c r="G838" s="82">
        <v>833</v>
      </c>
      <c r="H838" s="83">
        <v>-0.569241</v>
      </c>
      <c r="I838" s="84">
        <f t="shared" ref="I838:I901" si="26">$C$8*EXP(($C$11-$C$12^2/2)*$C$14+H838*$C$12*SQRT($C$14))</f>
        <v>45.548092877520887</v>
      </c>
      <c r="J838" s="85">
        <f t="shared" ref="J838:J901" si="27">($C$9*EXP(-$C$10*($C$13-$C$14))-I838)*$C$15/1000000</f>
        <v>7.0317686232996124</v>
      </c>
    </row>
    <row r="839" spans="7:10" x14ac:dyDescent="0.2">
      <c r="G839" s="82">
        <v>834</v>
      </c>
      <c r="H839" s="83">
        <v>7.7950000000000005E-2</v>
      </c>
      <c r="I839" s="84">
        <f t="shared" si="26"/>
        <v>52.250982657291743</v>
      </c>
      <c r="J839" s="85">
        <f t="shared" si="27"/>
        <v>0.32887884352875579</v>
      </c>
    </row>
    <row r="840" spans="7:10" x14ac:dyDescent="0.2">
      <c r="G840" s="82">
        <v>835</v>
      </c>
      <c r="H840" s="83">
        <v>1.1300110000000001</v>
      </c>
      <c r="I840" s="84">
        <f t="shared" si="26"/>
        <v>65.315837262952471</v>
      </c>
      <c r="J840" s="85">
        <f t="shared" si="27"/>
        <v>-12.735975762131972</v>
      </c>
    </row>
    <row r="841" spans="7:10" x14ac:dyDescent="0.2">
      <c r="G841" s="82">
        <v>836</v>
      </c>
      <c r="H841" s="83">
        <v>2.0871029999999999</v>
      </c>
      <c r="I841" s="84">
        <f t="shared" si="26"/>
        <v>80.019024346053385</v>
      </c>
      <c r="J841" s="85">
        <f t="shared" si="27"/>
        <v>-27.439162845232886</v>
      </c>
    </row>
    <row r="842" spans="7:10" x14ac:dyDescent="0.2">
      <c r="G842" s="82">
        <v>837</v>
      </c>
      <c r="H842" s="83">
        <v>-0.51481500000000002</v>
      </c>
      <c r="I842" s="84">
        <f t="shared" si="26"/>
        <v>46.077015761081938</v>
      </c>
      <c r="J842" s="85">
        <f t="shared" si="27"/>
        <v>6.5028457397385608</v>
      </c>
    </row>
    <row r="843" spans="7:10" x14ac:dyDescent="0.2">
      <c r="G843" s="82">
        <v>838</v>
      </c>
      <c r="H843" s="83">
        <v>0.63654500000000003</v>
      </c>
      <c r="I843" s="84">
        <f t="shared" si="26"/>
        <v>58.824273905378455</v>
      </c>
      <c r="J843" s="85">
        <f t="shared" si="27"/>
        <v>-6.2444124045579557</v>
      </c>
    </row>
    <row r="844" spans="7:10" x14ac:dyDescent="0.2">
      <c r="G844" s="82">
        <v>839</v>
      </c>
      <c r="H844" s="83">
        <v>0.108889</v>
      </c>
      <c r="I844" s="84">
        <f t="shared" si="26"/>
        <v>52.595041672396967</v>
      </c>
      <c r="J844" s="85">
        <f t="shared" si="27"/>
        <v>-1.5180171576467671E-2</v>
      </c>
    </row>
    <row r="845" spans="7:10" x14ac:dyDescent="0.2">
      <c r="G845" s="82">
        <v>840</v>
      </c>
      <c r="H845" s="83">
        <v>-0.34920400000000001</v>
      </c>
      <c r="I845" s="84">
        <f t="shared" si="26"/>
        <v>47.724536157781557</v>
      </c>
      <c r="J845" s="85">
        <f t="shared" si="27"/>
        <v>4.8553253430389418</v>
      </c>
    </row>
    <row r="846" spans="7:10" x14ac:dyDescent="0.2">
      <c r="G846" s="82">
        <v>841</v>
      </c>
      <c r="H846" s="83">
        <v>-0.72499000000000002</v>
      </c>
      <c r="I846" s="84">
        <f t="shared" si="26"/>
        <v>44.067801974831852</v>
      </c>
      <c r="J846" s="85">
        <f t="shared" si="27"/>
        <v>8.5120595259886471</v>
      </c>
    </row>
    <row r="847" spans="7:10" x14ac:dyDescent="0.2">
      <c r="G847" s="82">
        <v>842</v>
      </c>
      <c r="H847" s="83">
        <v>9.7571000000000005E-2</v>
      </c>
      <c r="I847" s="84">
        <f t="shared" si="26"/>
        <v>52.468917159117765</v>
      </c>
      <c r="J847" s="85">
        <f t="shared" si="27"/>
        <v>0.1109443417027336</v>
      </c>
    </row>
    <row r="848" spans="7:10" x14ac:dyDescent="0.2">
      <c r="G848" s="82">
        <v>843</v>
      </c>
      <c r="H848" s="83">
        <v>-1.1696089999999999</v>
      </c>
      <c r="I848" s="84">
        <f t="shared" si="26"/>
        <v>40.101408919988295</v>
      </c>
      <c r="J848" s="85">
        <f t="shared" si="27"/>
        <v>12.478452580832204</v>
      </c>
    </row>
    <row r="849" spans="7:10" x14ac:dyDescent="0.2">
      <c r="G849" s="82">
        <v>844</v>
      </c>
      <c r="H849" s="83">
        <v>0.373081</v>
      </c>
      <c r="I849" s="84">
        <f t="shared" si="26"/>
        <v>55.626818769837016</v>
      </c>
      <c r="J849" s="85">
        <f t="shared" si="27"/>
        <v>-3.0469572690165165</v>
      </c>
    </row>
    <row r="850" spans="7:10" x14ac:dyDescent="0.2">
      <c r="G850" s="82">
        <v>845</v>
      </c>
      <c r="H850" s="83">
        <v>2.3029000000000001E-2</v>
      </c>
      <c r="I850" s="84">
        <f t="shared" si="26"/>
        <v>51.645764795227855</v>
      </c>
      <c r="J850" s="85">
        <f t="shared" si="27"/>
        <v>0.93409670559264413</v>
      </c>
    </row>
    <row r="851" spans="7:10" x14ac:dyDescent="0.2">
      <c r="G851" s="82">
        <v>846</v>
      </c>
      <c r="H851" s="83">
        <v>-0.203569</v>
      </c>
      <c r="I851" s="84">
        <f t="shared" si="26"/>
        <v>49.221941982077453</v>
      </c>
      <c r="J851" s="85">
        <f t="shared" si="27"/>
        <v>3.3579195187430457</v>
      </c>
    </row>
    <row r="852" spans="7:10" x14ac:dyDescent="0.2">
      <c r="G852" s="82">
        <v>847</v>
      </c>
      <c r="H852" s="83">
        <v>-0.40673500000000001</v>
      </c>
      <c r="I852" s="84">
        <f t="shared" si="26"/>
        <v>47.145637570507432</v>
      </c>
      <c r="J852" s="85">
        <f t="shared" si="27"/>
        <v>5.4342239303130668</v>
      </c>
    </row>
    <row r="853" spans="7:10" x14ac:dyDescent="0.2">
      <c r="G853" s="82">
        <v>848</v>
      </c>
      <c r="H853" s="83">
        <v>0.28623100000000001</v>
      </c>
      <c r="I853" s="84">
        <f t="shared" si="26"/>
        <v>54.611351810271394</v>
      </c>
      <c r="J853" s="85">
        <f t="shared" si="27"/>
        <v>-2.0314903094508949</v>
      </c>
    </row>
    <row r="854" spans="7:10" x14ac:dyDescent="0.2">
      <c r="G854" s="82">
        <v>849</v>
      </c>
      <c r="H854" s="83">
        <v>3.0670570000000001</v>
      </c>
      <c r="I854" s="84">
        <f t="shared" si="26"/>
        <v>98.508618944426985</v>
      </c>
      <c r="J854" s="85">
        <f t="shared" si="27"/>
        <v>-45.928757443606486</v>
      </c>
    </row>
    <row r="855" spans="7:10" x14ac:dyDescent="0.2">
      <c r="G855" s="82">
        <v>850</v>
      </c>
      <c r="H855" s="83">
        <v>-0.32554899999999998</v>
      </c>
      <c r="I855" s="84">
        <f t="shared" si="26"/>
        <v>47.964618943843853</v>
      </c>
      <c r="J855" s="85">
        <f t="shared" si="27"/>
        <v>4.6152425569766464</v>
      </c>
    </row>
    <row r="856" spans="7:10" x14ac:dyDescent="0.2">
      <c r="G856" s="82">
        <v>851</v>
      </c>
      <c r="H856" s="83">
        <v>-1.125594</v>
      </c>
      <c r="I856" s="84">
        <f t="shared" si="26"/>
        <v>40.477588895589363</v>
      </c>
      <c r="J856" s="85">
        <f t="shared" si="27"/>
        <v>12.102272605231136</v>
      </c>
    </row>
    <row r="857" spans="7:10" x14ac:dyDescent="0.2">
      <c r="G857" s="82">
        <v>852</v>
      </c>
      <c r="H857" s="83">
        <v>-0.42774800000000002</v>
      </c>
      <c r="I857" s="84">
        <f t="shared" si="26"/>
        <v>46.935952142806471</v>
      </c>
      <c r="J857" s="85">
        <f t="shared" si="27"/>
        <v>5.6439093580140272</v>
      </c>
    </row>
    <row r="858" spans="7:10" x14ac:dyDescent="0.2">
      <c r="G858" s="82">
        <v>853</v>
      </c>
      <c r="H858" s="83">
        <v>0.165802</v>
      </c>
      <c r="I858" s="84">
        <f t="shared" si="26"/>
        <v>53.233873890531711</v>
      </c>
      <c r="J858" s="85">
        <f t="shared" si="27"/>
        <v>-0.65401238971121245</v>
      </c>
    </row>
    <row r="859" spans="7:10" x14ac:dyDescent="0.2">
      <c r="G859" s="82">
        <v>854</v>
      </c>
      <c r="H859" s="83">
        <v>-0.77910900000000005</v>
      </c>
      <c r="I859" s="84">
        <f t="shared" si="26"/>
        <v>43.56478011013197</v>
      </c>
      <c r="J859" s="85">
        <f t="shared" si="27"/>
        <v>9.015081390688529</v>
      </c>
    </row>
    <row r="860" spans="7:10" x14ac:dyDescent="0.2">
      <c r="G860" s="82">
        <v>855</v>
      </c>
      <c r="H860" s="83">
        <v>1.5427059999999999</v>
      </c>
      <c r="I860" s="84">
        <f t="shared" si="26"/>
        <v>71.291732545690152</v>
      </c>
      <c r="J860" s="85">
        <f t="shared" si="27"/>
        <v>-18.711871044869653</v>
      </c>
    </row>
    <row r="861" spans="7:10" x14ac:dyDescent="0.2">
      <c r="G861" s="82">
        <v>856</v>
      </c>
      <c r="H861" s="83">
        <v>0.45930599999999999</v>
      </c>
      <c r="I861" s="84">
        <f t="shared" si="26"/>
        <v>56.653655976206018</v>
      </c>
      <c r="J861" s="85">
        <f t="shared" si="27"/>
        <v>-4.0737944753855189</v>
      </c>
    </row>
    <row r="862" spans="7:10" x14ac:dyDescent="0.2">
      <c r="G862" s="82">
        <v>857</v>
      </c>
      <c r="H862" s="83">
        <v>-0.34270499999999998</v>
      </c>
      <c r="I862" s="84">
        <f t="shared" si="26"/>
        <v>47.790376778042081</v>
      </c>
      <c r="J862" s="85">
        <f t="shared" si="27"/>
        <v>4.7894847227784183</v>
      </c>
    </row>
    <row r="863" spans="7:10" x14ac:dyDescent="0.2">
      <c r="G863" s="82">
        <v>858</v>
      </c>
      <c r="H863" s="83">
        <v>-1.0849219999999999</v>
      </c>
      <c r="I863" s="84">
        <f t="shared" si="26"/>
        <v>40.828333725734971</v>
      </c>
      <c r="J863" s="85">
        <f t="shared" si="27"/>
        <v>11.751527775085528</v>
      </c>
    </row>
    <row r="864" spans="7:10" x14ac:dyDescent="0.2">
      <c r="G864" s="82">
        <v>859</v>
      </c>
      <c r="H864" s="83">
        <v>-0.20218900000000001</v>
      </c>
      <c r="I864" s="84">
        <f t="shared" si="26"/>
        <v>49.236353431343169</v>
      </c>
      <c r="J864" s="85">
        <f t="shared" si="27"/>
        <v>3.3435080694773305</v>
      </c>
    </row>
    <row r="865" spans="7:10" x14ac:dyDescent="0.2">
      <c r="G865" s="82">
        <v>860</v>
      </c>
      <c r="H865" s="83">
        <v>-0.22464400000000001</v>
      </c>
      <c r="I865" s="84">
        <f t="shared" si="26"/>
        <v>49.002377468666502</v>
      </c>
      <c r="J865" s="85">
        <f t="shared" si="27"/>
        <v>3.5774840321539969</v>
      </c>
    </row>
    <row r="866" spans="7:10" x14ac:dyDescent="0.2">
      <c r="G866" s="82">
        <v>861</v>
      </c>
      <c r="H866" s="83">
        <v>-0.308757</v>
      </c>
      <c r="I866" s="84">
        <f t="shared" si="26"/>
        <v>48.135779392180247</v>
      </c>
      <c r="J866" s="85">
        <f t="shared" si="27"/>
        <v>4.4440821086402522</v>
      </c>
    </row>
    <row r="867" spans="7:10" x14ac:dyDescent="0.2">
      <c r="G867" s="82">
        <v>862</v>
      </c>
      <c r="H867" s="83">
        <v>-0.50824499999999995</v>
      </c>
      <c r="I867" s="84">
        <f t="shared" si="26"/>
        <v>46.141278413213129</v>
      </c>
      <c r="J867" s="85">
        <f t="shared" si="27"/>
        <v>6.4385830876073697</v>
      </c>
    </row>
    <row r="868" spans="7:10" x14ac:dyDescent="0.2">
      <c r="G868" s="82">
        <v>863</v>
      </c>
      <c r="H868" s="83">
        <v>-0.34589399999999998</v>
      </c>
      <c r="I868" s="84">
        <f t="shared" si="26"/>
        <v>47.758058043962507</v>
      </c>
      <c r="J868" s="85">
        <f t="shared" si="27"/>
        <v>4.8218034568579924</v>
      </c>
    </row>
    <row r="869" spans="7:10" x14ac:dyDescent="0.2">
      <c r="G869" s="82">
        <v>864</v>
      </c>
      <c r="H869" s="83">
        <v>-0.198466</v>
      </c>
      <c r="I869" s="84">
        <f t="shared" si="26"/>
        <v>49.275254065455876</v>
      </c>
      <c r="J869" s="85">
        <f t="shared" si="27"/>
        <v>3.3046074353646229</v>
      </c>
    </row>
    <row r="870" spans="7:10" x14ac:dyDescent="0.2">
      <c r="G870" s="82">
        <v>865</v>
      </c>
      <c r="H870" s="83">
        <v>-0.89809899999999998</v>
      </c>
      <c r="I870" s="84">
        <f t="shared" si="26"/>
        <v>42.4788981073646</v>
      </c>
      <c r="J870" s="85">
        <f t="shared" si="27"/>
        <v>10.100963393455899</v>
      </c>
    </row>
    <row r="871" spans="7:10" x14ac:dyDescent="0.2">
      <c r="G871" s="82">
        <v>866</v>
      </c>
      <c r="H871" s="83">
        <v>-2.0260790000000002</v>
      </c>
      <c r="I871" s="84">
        <f t="shared" si="26"/>
        <v>33.439129139296881</v>
      </c>
      <c r="J871" s="85">
        <f t="shared" si="27"/>
        <v>19.140732361523618</v>
      </c>
    </row>
    <row r="872" spans="7:10" x14ac:dyDescent="0.2">
      <c r="G872" s="82">
        <v>867</v>
      </c>
      <c r="H872" s="83">
        <v>-1.2665139999999999</v>
      </c>
      <c r="I872" s="84">
        <f t="shared" si="26"/>
        <v>39.28547328653336</v>
      </c>
      <c r="J872" s="85">
        <f t="shared" si="27"/>
        <v>13.294388214287139</v>
      </c>
    </row>
    <row r="873" spans="7:10" x14ac:dyDescent="0.2">
      <c r="G873" s="82">
        <v>868</v>
      </c>
      <c r="H873" s="83">
        <v>-0.846858</v>
      </c>
      <c r="I873" s="84">
        <f t="shared" si="26"/>
        <v>42.943156318796007</v>
      </c>
      <c r="J873" s="85">
        <f t="shared" si="27"/>
        <v>9.6367051820244924</v>
      </c>
    </row>
    <row r="874" spans="7:10" x14ac:dyDescent="0.2">
      <c r="G874" s="82">
        <v>869</v>
      </c>
      <c r="H874" s="83">
        <v>-0.12468899999999999</v>
      </c>
      <c r="I874" s="84">
        <f t="shared" si="26"/>
        <v>50.052500982661606</v>
      </c>
      <c r="J874" s="85">
        <f t="shared" si="27"/>
        <v>2.5273605181588934</v>
      </c>
    </row>
    <row r="875" spans="7:10" x14ac:dyDescent="0.2">
      <c r="G875" s="82">
        <v>870</v>
      </c>
      <c r="H875" s="83">
        <v>-2.1404139999999998</v>
      </c>
      <c r="I875" s="84">
        <f t="shared" si="26"/>
        <v>32.637849067073908</v>
      </c>
      <c r="J875" s="85">
        <f t="shared" si="27"/>
        <v>19.942012433746591</v>
      </c>
    </row>
    <row r="876" spans="7:10" x14ac:dyDescent="0.2">
      <c r="G876" s="82">
        <v>871</v>
      </c>
      <c r="H876" s="83">
        <v>-0.94852599999999998</v>
      </c>
      <c r="I876" s="84">
        <f t="shared" si="26"/>
        <v>42.026915379835842</v>
      </c>
      <c r="J876" s="85">
        <f t="shared" si="27"/>
        <v>10.552946120984657</v>
      </c>
    </row>
    <row r="877" spans="7:10" x14ac:dyDescent="0.2">
      <c r="G877" s="82">
        <v>872</v>
      </c>
      <c r="H877" s="83">
        <v>-0.87587700000000002</v>
      </c>
      <c r="I877" s="84">
        <f t="shared" si="26"/>
        <v>42.679616271777313</v>
      </c>
      <c r="J877" s="85">
        <f t="shared" si="27"/>
        <v>9.9002452290431862</v>
      </c>
    </row>
    <row r="878" spans="7:10" x14ac:dyDescent="0.2">
      <c r="G878" s="82">
        <v>873</v>
      </c>
      <c r="H878" s="83">
        <v>-0.70486400000000005</v>
      </c>
      <c r="I878" s="84">
        <f t="shared" si="26"/>
        <v>44.256345892152858</v>
      </c>
      <c r="J878" s="85">
        <f t="shared" si="27"/>
        <v>8.3235156086676412</v>
      </c>
    </row>
    <row r="879" spans="7:10" x14ac:dyDescent="0.2">
      <c r="G879" s="82">
        <v>874</v>
      </c>
      <c r="H879" s="83">
        <v>-0.28508699999999998</v>
      </c>
      <c r="I879" s="84">
        <f t="shared" si="26"/>
        <v>48.378084914048046</v>
      </c>
      <c r="J879" s="85">
        <f t="shared" si="27"/>
        <v>4.2017765867724535</v>
      </c>
    </row>
    <row r="880" spans="7:10" x14ac:dyDescent="0.2">
      <c r="G880" s="82">
        <v>875</v>
      </c>
      <c r="H880" s="83">
        <v>1.921378</v>
      </c>
      <c r="I880" s="84">
        <f t="shared" si="26"/>
        <v>77.254782970348657</v>
      </c>
      <c r="J880" s="85">
        <f t="shared" si="27"/>
        <v>-24.674921469528158</v>
      </c>
    </row>
    <row r="881" spans="7:10" x14ac:dyDescent="0.2">
      <c r="G881" s="82">
        <v>876</v>
      </c>
      <c r="H881" s="83">
        <v>0.91089799999999999</v>
      </c>
      <c r="I881" s="84">
        <f t="shared" si="26"/>
        <v>62.349375202065573</v>
      </c>
      <c r="J881" s="85">
        <f t="shared" si="27"/>
        <v>-9.7695137012450743</v>
      </c>
    </row>
    <row r="882" spans="7:10" x14ac:dyDescent="0.2">
      <c r="G882" s="82">
        <v>877</v>
      </c>
      <c r="H882" s="83">
        <v>2.3522750000000001</v>
      </c>
      <c r="I882" s="84">
        <f t="shared" si="26"/>
        <v>84.649219358224869</v>
      </c>
      <c r="J882" s="85">
        <f t="shared" si="27"/>
        <v>-32.06935785740437</v>
      </c>
    </row>
    <row r="883" spans="7:10" x14ac:dyDescent="0.2">
      <c r="G883" s="82">
        <v>878</v>
      </c>
      <c r="H883" s="83">
        <v>0.43343300000000001</v>
      </c>
      <c r="I883" s="84">
        <f t="shared" si="26"/>
        <v>56.343564577056036</v>
      </c>
      <c r="J883" s="85">
        <f t="shared" si="27"/>
        <v>-3.7637030762355366</v>
      </c>
    </row>
    <row r="884" spans="7:10" x14ac:dyDescent="0.2">
      <c r="G884" s="82">
        <v>879</v>
      </c>
      <c r="H884" s="83">
        <v>0.35941099999999998</v>
      </c>
      <c r="I884" s="84">
        <f t="shared" si="26"/>
        <v>55.465743282428605</v>
      </c>
      <c r="J884" s="85">
        <f t="shared" si="27"/>
        <v>-2.8858817816081057</v>
      </c>
    </row>
    <row r="885" spans="7:10" x14ac:dyDescent="0.2">
      <c r="G885" s="82">
        <v>880</v>
      </c>
      <c r="H885" s="83">
        <v>0.94659800000000005</v>
      </c>
      <c r="I885" s="84">
        <f t="shared" si="26"/>
        <v>62.823346559217377</v>
      </c>
      <c r="J885" s="85">
        <f t="shared" si="27"/>
        <v>-10.243485058396878</v>
      </c>
    </row>
    <row r="886" spans="7:10" x14ac:dyDescent="0.2">
      <c r="G886" s="82">
        <v>881</v>
      </c>
      <c r="H886" s="83">
        <v>0.94407099999999999</v>
      </c>
      <c r="I886" s="84">
        <f t="shared" si="26"/>
        <v>62.789678648421166</v>
      </c>
      <c r="J886" s="85">
        <f t="shared" si="27"/>
        <v>-10.209817147600667</v>
      </c>
    </row>
    <row r="887" spans="7:10" x14ac:dyDescent="0.2">
      <c r="G887" s="82">
        <v>882</v>
      </c>
      <c r="H887" s="83">
        <v>0.17263800000000001</v>
      </c>
      <c r="I887" s="84">
        <f t="shared" si="26"/>
        <v>53.311126171817527</v>
      </c>
      <c r="J887" s="85">
        <f t="shared" si="27"/>
        <v>-0.73126467099702808</v>
      </c>
    </row>
    <row r="888" spans="7:10" x14ac:dyDescent="0.2">
      <c r="G888" s="82">
        <v>883</v>
      </c>
      <c r="H888" s="83">
        <v>-0.78533399999999998</v>
      </c>
      <c r="I888" s="84">
        <f t="shared" si="26"/>
        <v>43.507289830265186</v>
      </c>
      <c r="J888" s="85">
        <f t="shared" si="27"/>
        <v>9.0725716705553126</v>
      </c>
    </row>
    <row r="889" spans="7:10" x14ac:dyDescent="0.2">
      <c r="G889" s="82">
        <v>884</v>
      </c>
      <c r="H889" s="83">
        <v>-5.0169999999999998E-3</v>
      </c>
      <c r="I889" s="84">
        <f t="shared" si="26"/>
        <v>51.339412856978981</v>
      </c>
      <c r="J889" s="85">
        <f t="shared" si="27"/>
        <v>1.2404486438415177</v>
      </c>
    </row>
    <row r="890" spans="7:10" x14ac:dyDescent="0.2">
      <c r="G890" s="82">
        <v>885</v>
      </c>
      <c r="H890" s="83">
        <v>1.7074940000000001</v>
      </c>
      <c r="I890" s="84">
        <f t="shared" si="26"/>
        <v>73.827934872932005</v>
      </c>
      <c r="J890" s="85">
        <f t="shared" si="27"/>
        <v>-21.248073372111506</v>
      </c>
    </row>
    <row r="891" spans="7:10" x14ac:dyDescent="0.2">
      <c r="G891" s="82">
        <v>886</v>
      </c>
      <c r="H891" s="83">
        <v>1.024416</v>
      </c>
      <c r="I891" s="84">
        <f t="shared" si="26"/>
        <v>63.869022027585068</v>
      </c>
      <c r="J891" s="85">
        <f t="shared" si="27"/>
        <v>-11.289160526764569</v>
      </c>
    </row>
    <row r="892" spans="7:10" x14ac:dyDescent="0.2">
      <c r="G892" s="82">
        <v>887</v>
      </c>
      <c r="H892" s="83">
        <v>-1.1653979999999999</v>
      </c>
      <c r="I892" s="84">
        <f t="shared" si="26"/>
        <v>40.137247031720584</v>
      </c>
      <c r="J892" s="85">
        <f t="shared" si="27"/>
        <v>12.442614469099915</v>
      </c>
    </row>
    <row r="893" spans="7:10" x14ac:dyDescent="0.2">
      <c r="G893" s="82">
        <v>888</v>
      </c>
      <c r="H893" s="83">
        <v>0.906088</v>
      </c>
      <c r="I893" s="84">
        <f t="shared" si="26"/>
        <v>62.285789145710567</v>
      </c>
      <c r="J893" s="85">
        <f t="shared" si="27"/>
        <v>-9.7059276448900675</v>
      </c>
    </row>
    <row r="894" spans="7:10" x14ac:dyDescent="0.2">
      <c r="G894" s="82">
        <v>889</v>
      </c>
      <c r="H894" s="83">
        <v>0.35638500000000001</v>
      </c>
      <c r="I894" s="84">
        <f t="shared" si="26"/>
        <v>55.430150606861638</v>
      </c>
      <c r="J894" s="85">
        <f t="shared" si="27"/>
        <v>-2.8502891060411386</v>
      </c>
    </row>
    <row r="895" spans="7:10" x14ac:dyDescent="0.2">
      <c r="G895" s="82">
        <v>890</v>
      </c>
      <c r="H895" s="83">
        <v>1.1586780000000001</v>
      </c>
      <c r="I895" s="84">
        <f t="shared" si="26"/>
        <v>65.714245385691882</v>
      </c>
      <c r="J895" s="85">
        <f t="shared" si="27"/>
        <v>-13.134383884871383</v>
      </c>
    </row>
    <row r="896" spans="7:10" x14ac:dyDescent="0.2">
      <c r="G896" s="82">
        <v>891</v>
      </c>
      <c r="H896" s="83">
        <v>0.48048000000000002</v>
      </c>
      <c r="I896" s="84">
        <f t="shared" si="26"/>
        <v>56.908698635724811</v>
      </c>
      <c r="J896" s="85">
        <f t="shared" si="27"/>
        <v>-4.3288371349043118</v>
      </c>
    </row>
    <row r="897" spans="7:10" x14ac:dyDescent="0.2">
      <c r="G897" s="82">
        <v>892</v>
      </c>
      <c r="H897" s="83">
        <v>-1.797668</v>
      </c>
      <c r="I897" s="84">
        <f t="shared" si="26"/>
        <v>35.099259574001429</v>
      </c>
      <c r="J897" s="85">
        <f t="shared" si="27"/>
        <v>17.48060192681907</v>
      </c>
    </row>
    <row r="898" spans="7:10" x14ac:dyDescent="0.2">
      <c r="G898" s="82">
        <v>893</v>
      </c>
      <c r="H898" s="83">
        <v>5.5587999999999999E-2</v>
      </c>
      <c r="I898" s="84">
        <f t="shared" si="26"/>
        <v>52.003706815483632</v>
      </c>
      <c r="J898" s="85">
        <f t="shared" si="27"/>
        <v>0.57615468533686709</v>
      </c>
    </row>
    <row r="899" spans="7:10" x14ac:dyDescent="0.2">
      <c r="G899" s="82">
        <v>894</v>
      </c>
      <c r="H899" s="83">
        <v>0.22046499999999999</v>
      </c>
      <c r="I899" s="84">
        <f t="shared" si="26"/>
        <v>53.854754668398556</v>
      </c>
      <c r="J899" s="85">
        <f t="shared" si="27"/>
        <v>-1.2748931675780568</v>
      </c>
    </row>
    <row r="900" spans="7:10" x14ac:dyDescent="0.2">
      <c r="G900" s="82">
        <v>895</v>
      </c>
      <c r="H900" s="83">
        <v>-0.37112499999999998</v>
      </c>
      <c r="I900" s="84">
        <f t="shared" si="26"/>
        <v>47.503125276826438</v>
      </c>
      <c r="J900" s="85">
        <f t="shared" si="27"/>
        <v>5.076736223994061</v>
      </c>
    </row>
    <row r="901" spans="7:10" x14ac:dyDescent="0.2">
      <c r="G901" s="82">
        <v>896</v>
      </c>
      <c r="H901" s="83">
        <v>-1.025331</v>
      </c>
      <c r="I901" s="84">
        <f t="shared" si="26"/>
        <v>41.347727178678319</v>
      </c>
      <c r="J901" s="85">
        <f t="shared" si="27"/>
        <v>11.23213432214218</v>
      </c>
    </row>
    <row r="902" spans="7:10" x14ac:dyDescent="0.2">
      <c r="G902" s="82">
        <v>897</v>
      </c>
      <c r="H902" s="83">
        <v>1.2841830000000001</v>
      </c>
      <c r="I902" s="84">
        <f t="shared" ref="I902:I965" si="28">$C$8*EXP(($C$11-$C$12^2/2)*$C$14+H902*$C$12*SQRT($C$14))</f>
        <v>67.487294984022711</v>
      </c>
      <c r="J902" s="85">
        <f t="shared" ref="J902:J965" si="29">($C$9*EXP(-$C$10*($C$13-$C$14))-I902)*$C$15/1000000</f>
        <v>-14.907433483202212</v>
      </c>
    </row>
    <row r="903" spans="7:10" x14ac:dyDescent="0.2">
      <c r="G903" s="82">
        <v>898</v>
      </c>
      <c r="H903" s="83">
        <v>-0.51278100000000004</v>
      </c>
      <c r="I903" s="84">
        <f t="shared" si="28"/>
        <v>46.096901202982416</v>
      </c>
      <c r="J903" s="85">
        <f t="shared" si="29"/>
        <v>6.4829602978380834</v>
      </c>
    </row>
    <row r="904" spans="7:10" x14ac:dyDescent="0.2">
      <c r="G904" s="82">
        <v>899</v>
      </c>
      <c r="H904" s="83">
        <v>-8.3483000000000002E-2</v>
      </c>
      <c r="I904" s="84">
        <f t="shared" si="28"/>
        <v>50.491933295739045</v>
      </c>
      <c r="J904" s="85">
        <f t="shared" si="29"/>
        <v>2.0879282050814538</v>
      </c>
    </row>
    <row r="905" spans="7:10" x14ac:dyDescent="0.2">
      <c r="G905" s="82">
        <v>900</v>
      </c>
      <c r="H905" s="83">
        <v>-0.69042000000000003</v>
      </c>
      <c r="I905" s="84">
        <f t="shared" si="28"/>
        <v>44.392156848066982</v>
      </c>
      <c r="J905" s="85">
        <f t="shared" si="29"/>
        <v>8.1877046527535171</v>
      </c>
    </row>
    <row r="906" spans="7:10" x14ac:dyDescent="0.2">
      <c r="G906" s="82">
        <v>901</v>
      </c>
      <c r="H906" s="83">
        <v>0.94937899999999997</v>
      </c>
      <c r="I906" s="84">
        <f t="shared" si="28"/>
        <v>62.860419447544928</v>
      </c>
      <c r="J906" s="85">
        <f t="shared" si="29"/>
        <v>-10.280557946724429</v>
      </c>
    </row>
    <row r="907" spans="7:10" x14ac:dyDescent="0.2">
      <c r="G907" s="82">
        <v>902</v>
      </c>
      <c r="H907" s="83">
        <v>0.32023800000000002</v>
      </c>
      <c r="I907" s="84">
        <f t="shared" si="28"/>
        <v>55.006741136840574</v>
      </c>
      <c r="J907" s="85">
        <f t="shared" si="29"/>
        <v>-2.4268796360200753</v>
      </c>
    </row>
    <row r="908" spans="7:10" x14ac:dyDescent="0.2">
      <c r="G908" s="82">
        <v>903</v>
      </c>
      <c r="H908" s="83">
        <v>0.35224299999999997</v>
      </c>
      <c r="I908" s="84">
        <f t="shared" si="28"/>
        <v>55.381468246434615</v>
      </c>
      <c r="J908" s="85">
        <f t="shared" si="29"/>
        <v>-2.8016067456141158</v>
      </c>
    </row>
    <row r="909" spans="7:10" x14ac:dyDescent="0.2">
      <c r="G909" s="82">
        <v>904</v>
      </c>
      <c r="H909" s="83">
        <v>-0.959897</v>
      </c>
      <c r="I909" s="84">
        <f t="shared" si="28"/>
        <v>41.925662182794937</v>
      </c>
      <c r="J909" s="85">
        <f t="shared" si="29"/>
        <v>10.654199318025562</v>
      </c>
    </row>
    <row r="910" spans="7:10" x14ac:dyDescent="0.2">
      <c r="G910" s="82">
        <v>905</v>
      </c>
      <c r="H910" s="83">
        <v>-0.87415299999999996</v>
      </c>
      <c r="I910" s="84">
        <f t="shared" si="28"/>
        <v>42.695227728914986</v>
      </c>
      <c r="J910" s="85">
        <f t="shared" si="29"/>
        <v>9.8846337719055128</v>
      </c>
    </row>
    <row r="911" spans="7:10" x14ac:dyDescent="0.2">
      <c r="G911" s="82">
        <v>906</v>
      </c>
      <c r="H911" s="83">
        <v>-1.208683</v>
      </c>
      <c r="I911" s="84">
        <f t="shared" si="28"/>
        <v>39.770388257597034</v>
      </c>
      <c r="J911" s="85">
        <f t="shared" si="29"/>
        <v>12.809473243223463</v>
      </c>
    </row>
    <row r="912" spans="7:10" x14ac:dyDescent="0.2">
      <c r="G912" s="82">
        <v>907</v>
      </c>
      <c r="H912" s="83">
        <v>-0.59685900000000003</v>
      </c>
      <c r="I912" s="84">
        <f t="shared" si="28"/>
        <v>45.282022143070648</v>
      </c>
      <c r="J912" s="85">
        <f t="shared" si="29"/>
        <v>7.2978393577498508</v>
      </c>
    </row>
    <row r="913" spans="7:10" x14ac:dyDescent="0.2">
      <c r="G913" s="82">
        <v>908</v>
      </c>
      <c r="H913" s="83">
        <v>0.850051</v>
      </c>
      <c r="I913" s="84">
        <f t="shared" si="28"/>
        <v>61.549766155622244</v>
      </c>
      <c r="J913" s="85">
        <f t="shared" si="29"/>
        <v>-8.9699046548017449</v>
      </c>
    </row>
    <row r="914" spans="7:10" x14ac:dyDescent="0.2">
      <c r="G914" s="82">
        <v>909</v>
      </c>
      <c r="H914" s="83">
        <v>-2.01132</v>
      </c>
      <c r="I914" s="84">
        <f t="shared" si="28"/>
        <v>33.543986321391777</v>
      </c>
      <c r="J914" s="85">
        <f t="shared" si="29"/>
        <v>19.035875179428722</v>
      </c>
    </row>
    <row r="915" spans="7:10" x14ac:dyDescent="0.2">
      <c r="G915" s="82">
        <v>910</v>
      </c>
      <c r="H915" s="83">
        <v>0.75744400000000001</v>
      </c>
      <c r="I915" s="84">
        <f t="shared" si="28"/>
        <v>60.352425787751194</v>
      </c>
      <c r="J915" s="85">
        <f t="shared" si="29"/>
        <v>-7.7725642869306952</v>
      </c>
    </row>
    <row r="916" spans="7:10" x14ac:dyDescent="0.2">
      <c r="G916" s="82">
        <v>911</v>
      </c>
      <c r="H916" s="83">
        <v>4.2903999999999998E-2</v>
      </c>
      <c r="I916" s="84">
        <f t="shared" si="28"/>
        <v>51.863969418788315</v>
      </c>
      <c r="J916" s="85">
        <f t="shared" si="29"/>
        <v>0.71589208203218391</v>
      </c>
    </row>
    <row r="917" spans="7:10" x14ac:dyDescent="0.2">
      <c r="G917" s="82">
        <v>912</v>
      </c>
      <c r="H917" s="83">
        <v>-1.9874259999999999</v>
      </c>
      <c r="I917" s="84">
        <f t="shared" si="28"/>
        <v>33.714441776251967</v>
      </c>
      <c r="J917" s="85">
        <f t="shared" si="29"/>
        <v>18.865419724568532</v>
      </c>
    </row>
    <row r="918" spans="7:10" x14ac:dyDescent="0.2">
      <c r="G918" s="82">
        <v>913</v>
      </c>
      <c r="H918" s="83">
        <v>0.78340699999999996</v>
      </c>
      <c r="I918" s="84">
        <f t="shared" si="28"/>
        <v>60.685738875232865</v>
      </c>
      <c r="J918" s="85">
        <f t="shared" si="29"/>
        <v>-8.1058773744123656</v>
      </c>
    </row>
    <row r="919" spans="7:10" x14ac:dyDescent="0.2">
      <c r="G919" s="82">
        <v>914</v>
      </c>
      <c r="H919" s="83">
        <v>-0.194968</v>
      </c>
      <c r="I919" s="84">
        <f t="shared" si="28"/>
        <v>49.311831738675934</v>
      </c>
      <c r="J919" s="85">
        <f t="shared" si="29"/>
        <v>3.2680297621445646</v>
      </c>
    </row>
    <row r="920" spans="7:10" x14ac:dyDescent="0.2">
      <c r="G920" s="82">
        <v>915</v>
      </c>
      <c r="H920" s="83">
        <v>-0.85136100000000003</v>
      </c>
      <c r="I920" s="84">
        <f t="shared" si="28"/>
        <v>42.902155289772033</v>
      </c>
      <c r="J920" s="85">
        <f t="shared" si="29"/>
        <v>9.6777062110484664</v>
      </c>
    </row>
    <row r="921" spans="7:10" x14ac:dyDescent="0.2">
      <c r="G921" s="82">
        <v>916</v>
      </c>
      <c r="H921" s="83">
        <v>0.30438500000000002</v>
      </c>
      <c r="I921" s="84">
        <f t="shared" si="28"/>
        <v>54.822068059419806</v>
      </c>
      <c r="J921" s="85">
        <f t="shared" si="29"/>
        <v>-2.2422065585993067</v>
      </c>
    </row>
    <row r="922" spans="7:10" x14ac:dyDescent="0.2">
      <c r="G922" s="82">
        <v>917</v>
      </c>
      <c r="H922" s="83">
        <v>0.443631</v>
      </c>
      <c r="I922" s="84">
        <f t="shared" si="28"/>
        <v>56.465585815323749</v>
      </c>
      <c r="J922" s="85">
        <f t="shared" si="29"/>
        <v>-3.8857243145032498</v>
      </c>
    </row>
    <row r="923" spans="7:10" x14ac:dyDescent="0.2">
      <c r="G923" s="82">
        <v>918</v>
      </c>
      <c r="H923" s="83">
        <v>0.61496300000000004</v>
      </c>
      <c r="I923" s="84">
        <f t="shared" si="28"/>
        <v>58.555578185329324</v>
      </c>
      <c r="J923" s="85">
        <f t="shared" si="29"/>
        <v>-5.975716684508825</v>
      </c>
    </row>
    <row r="924" spans="7:10" x14ac:dyDescent="0.2">
      <c r="G924" s="82">
        <v>919</v>
      </c>
      <c r="H924" s="83">
        <v>-0.37403599999999998</v>
      </c>
      <c r="I924" s="84">
        <f t="shared" si="28"/>
        <v>47.473800375431338</v>
      </c>
      <c r="J924" s="85">
        <f t="shared" si="29"/>
        <v>5.1060611253891608</v>
      </c>
    </row>
    <row r="925" spans="7:10" x14ac:dyDescent="0.2">
      <c r="G925" s="82">
        <v>920</v>
      </c>
      <c r="H925" s="83">
        <v>2.2618559999999999</v>
      </c>
      <c r="I925" s="84">
        <f t="shared" si="28"/>
        <v>83.041054673723309</v>
      </c>
      <c r="J925" s="85">
        <f t="shared" si="29"/>
        <v>-30.46119317290281</v>
      </c>
    </row>
    <row r="926" spans="7:10" x14ac:dyDescent="0.2">
      <c r="G926" s="82">
        <v>921</v>
      </c>
      <c r="H926" s="83">
        <v>-1.263533</v>
      </c>
      <c r="I926" s="84">
        <f t="shared" si="28"/>
        <v>39.310323924716251</v>
      </c>
      <c r="J926" s="85">
        <f t="shared" si="29"/>
        <v>13.269537576104248</v>
      </c>
    </row>
    <row r="927" spans="7:10" x14ac:dyDescent="0.2">
      <c r="G927" s="82">
        <v>922</v>
      </c>
      <c r="H927" s="83">
        <v>0.42918200000000001</v>
      </c>
      <c r="I927" s="84">
        <f t="shared" si="28"/>
        <v>56.292778358399552</v>
      </c>
      <c r="J927" s="85">
        <f t="shared" si="29"/>
        <v>-3.712916857579053</v>
      </c>
    </row>
    <row r="928" spans="7:10" x14ac:dyDescent="0.2">
      <c r="G928" s="82">
        <v>923</v>
      </c>
      <c r="H928" s="83">
        <v>0.55585200000000001</v>
      </c>
      <c r="I928" s="84">
        <f t="shared" si="28"/>
        <v>57.825914386522534</v>
      </c>
      <c r="J928" s="85">
        <f t="shared" si="29"/>
        <v>-5.246052885702035</v>
      </c>
    </row>
    <row r="929" spans="7:10" x14ac:dyDescent="0.2">
      <c r="G929" s="82">
        <v>924</v>
      </c>
      <c r="H929" s="83">
        <v>-5.1958999999999998E-2</v>
      </c>
      <c r="I929" s="84">
        <f t="shared" si="28"/>
        <v>50.830716992513338</v>
      </c>
      <c r="J929" s="85">
        <f t="shared" si="29"/>
        <v>1.7491445083071611</v>
      </c>
    </row>
    <row r="930" spans="7:10" x14ac:dyDescent="0.2">
      <c r="G930" s="82">
        <v>925</v>
      </c>
      <c r="H930" s="83">
        <v>0.90340799999999999</v>
      </c>
      <c r="I930" s="84">
        <f t="shared" si="28"/>
        <v>62.250388875519327</v>
      </c>
      <c r="J930" s="85">
        <f t="shared" si="29"/>
        <v>-9.6705273746988283</v>
      </c>
    </row>
    <row r="931" spans="7:10" x14ac:dyDescent="0.2">
      <c r="G931" s="82">
        <v>926</v>
      </c>
      <c r="H931" s="83">
        <v>0.126828</v>
      </c>
      <c r="I931" s="84">
        <f t="shared" si="28"/>
        <v>52.795570074141295</v>
      </c>
      <c r="J931" s="85">
        <f t="shared" si="29"/>
        <v>-0.2157085733207964</v>
      </c>
    </row>
    <row r="932" spans="7:10" x14ac:dyDescent="0.2">
      <c r="G932" s="82">
        <v>927</v>
      </c>
      <c r="H932" s="83">
        <v>-0.49895099999999998</v>
      </c>
      <c r="I932" s="84">
        <f t="shared" si="28"/>
        <v>46.232338222469977</v>
      </c>
      <c r="J932" s="85">
        <f t="shared" si="29"/>
        <v>6.347523278350522</v>
      </c>
    </row>
    <row r="933" spans="7:10" x14ac:dyDescent="0.2">
      <c r="G933" s="82">
        <v>928</v>
      </c>
      <c r="H933" s="83">
        <v>0.84013700000000002</v>
      </c>
      <c r="I933" s="84">
        <f t="shared" si="28"/>
        <v>61.420458278636602</v>
      </c>
      <c r="J933" s="85">
        <f t="shared" si="29"/>
        <v>-8.8405967778161028</v>
      </c>
    </row>
    <row r="934" spans="7:10" x14ac:dyDescent="0.2">
      <c r="G934" s="82">
        <v>929</v>
      </c>
      <c r="H934" s="83">
        <v>0.85615799999999997</v>
      </c>
      <c r="I934" s="84">
        <f t="shared" si="28"/>
        <v>61.62955495437491</v>
      </c>
      <c r="J934" s="85">
        <f t="shared" si="29"/>
        <v>-9.0496934535544113</v>
      </c>
    </row>
    <row r="935" spans="7:10" x14ac:dyDescent="0.2">
      <c r="G935" s="82">
        <v>930</v>
      </c>
      <c r="H935" s="83">
        <v>-1.1560569999999999</v>
      </c>
      <c r="I935" s="84">
        <f t="shared" si="28"/>
        <v>40.216858853879508</v>
      </c>
      <c r="J935" s="85">
        <f t="shared" si="29"/>
        <v>12.363002646940991</v>
      </c>
    </row>
    <row r="936" spans="7:10" x14ac:dyDescent="0.2">
      <c r="G936" s="82">
        <v>931</v>
      </c>
      <c r="H936" s="83">
        <v>1.304006</v>
      </c>
      <c r="I936" s="84">
        <f t="shared" si="28"/>
        <v>67.771682876894275</v>
      </c>
      <c r="J936" s="85">
        <f t="shared" si="29"/>
        <v>-15.191821376073776</v>
      </c>
    </row>
    <row r="937" spans="7:10" x14ac:dyDescent="0.2">
      <c r="G937" s="82">
        <v>932</v>
      </c>
      <c r="H937" s="83">
        <v>0.53367399999999998</v>
      </c>
      <c r="I937" s="84">
        <f t="shared" si="28"/>
        <v>57.55450182702635</v>
      </c>
      <c r="J937" s="85">
        <f t="shared" si="29"/>
        <v>-4.9746403262058507</v>
      </c>
    </row>
    <row r="938" spans="7:10" x14ac:dyDescent="0.2">
      <c r="G938" s="82">
        <v>933</v>
      </c>
      <c r="H938" s="83">
        <v>-0.72852799999999995</v>
      </c>
      <c r="I938" s="84">
        <f t="shared" si="28"/>
        <v>44.034740478089759</v>
      </c>
      <c r="J938" s="85">
        <f t="shared" si="29"/>
        <v>8.5451210227307399</v>
      </c>
    </row>
    <row r="939" spans="7:10" x14ac:dyDescent="0.2">
      <c r="G939" s="82">
        <v>934</v>
      </c>
      <c r="H939" s="83">
        <v>-1.0335209999999999</v>
      </c>
      <c r="I939" s="84">
        <f t="shared" si="28"/>
        <v>41.275953601470889</v>
      </c>
      <c r="J939" s="85">
        <f t="shared" si="29"/>
        <v>11.30390789934961</v>
      </c>
    </row>
    <row r="940" spans="7:10" x14ac:dyDescent="0.2">
      <c r="G940" s="82">
        <v>935</v>
      </c>
      <c r="H940" s="83">
        <v>0.28925800000000002</v>
      </c>
      <c r="I940" s="84">
        <f t="shared" si="28"/>
        <v>54.646430312973102</v>
      </c>
      <c r="J940" s="85">
        <f t="shared" si="29"/>
        <v>-2.0665688121526031</v>
      </c>
    </row>
    <row r="941" spans="7:10" x14ac:dyDescent="0.2">
      <c r="G941" s="82">
        <v>936</v>
      </c>
      <c r="H941" s="83">
        <v>-0.99265700000000001</v>
      </c>
      <c r="I941" s="84">
        <f t="shared" si="28"/>
        <v>41.635312135129247</v>
      </c>
      <c r="J941" s="85">
        <f t="shared" si="29"/>
        <v>10.944549365691252</v>
      </c>
    </row>
    <row r="942" spans="7:10" x14ac:dyDescent="0.2">
      <c r="G942" s="82">
        <v>937</v>
      </c>
      <c r="H942" s="83">
        <v>-0.56282799999999999</v>
      </c>
      <c r="I942" s="84">
        <f t="shared" si="28"/>
        <v>45.610098794652671</v>
      </c>
      <c r="J942" s="85">
        <f t="shared" si="29"/>
        <v>6.9697627061678276</v>
      </c>
    </row>
    <row r="943" spans="7:10" x14ac:dyDescent="0.2">
      <c r="G943" s="82">
        <v>938</v>
      </c>
      <c r="H943" s="83">
        <v>1.275104</v>
      </c>
      <c r="I943" s="84">
        <f t="shared" si="28"/>
        <v>67.357443132275606</v>
      </c>
      <c r="J943" s="85">
        <f t="shared" si="29"/>
        <v>-14.777581631455107</v>
      </c>
    </row>
    <row r="944" spans="7:10" x14ac:dyDescent="0.2">
      <c r="G944" s="82">
        <v>939</v>
      </c>
      <c r="H944" s="83">
        <v>-0.29669600000000002</v>
      </c>
      <c r="I944" s="84">
        <f t="shared" si="28"/>
        <v>48.259093645461427</v>
      </c>
      <c r="J944" s="85">
        <f t="shared" si="29"/>
        <v>4.3207678553590725</v>
      </c>
    </row>
    <row r="945" spans="7:10" x14ac:dyDescent="0.2">
      <c r="G945" s="82">
        <v>940</v>
      </c>
      <c r="H945" s="83">
        <v>3.4376999999999998E-2</v>
      </c>
      <c r="I945" s="84">
        <f t="shared" si="28"/>
        <v>51.770240081829357</v>
      </c>
      <c r="J945" s="85">
        <f t="shared" si="29"/>
        <v>0.80962141899114215</v>
      </c>
    </row>
    <row r="946" spans="7:10" x14ac:dyDescent="0.2">
      <c r="G946" s="82">
        <v>941</v>
      </c>
      <c r="H946" s="83">
        <v>-0.79552599999999996</v>
      </c>
      <c r="I946" s="84">
        <f t="shared" si="28"/>
        <v>43.413326520868573</v>
      </c>
      <c r="J946" s="85">
        <f t="shared" si="29"/>
        <v>9.1665349799519262</v>
      </c>
    </row>
    <row r="947" spans="7:10" x14ac:dyDescent="0.2">
      <c r="G947" s="82">
        <v>942</v>
      </c>
      <c r="H947" s="83">
        <v>-1.5423469999999999</v>
      </c>
      <c r="I947" s="84">
        <f t="shared" si="28"/>
        <v>37.052721307328802</v>
      </c>
      <c r="J947" s="85">
        <f t="shared" si="29"/>
        <v>15.527140193491697</v>
      </c>
    </row>
    <row r="948" spans="7:10" x14ac:dyDescent="0.2">
      <c r="G948" s="82">
        <v>943</v>
      </c>
      <c r="H948" s="83">
        <v>-3.3627999999999998E-2</v>
      </c>
      <c r="I948" s="84">
        <f t="shared" si="28"/>
        <v>51.028761736400874</v>
      </c>
      <c r="J948" s="85">
        <f t="shared" si="29"/>
        <v>1.5510997644196249</v>
      </c>
    </row>
    <row r="949" spans="7:10" x14ac:dyDescent="0.2">
      <c r="G949" s="82">
        <v>944</v>
      </c>
      <c r="H949" s="83">
        <v>-1.5242990000000001</v>
      </c>
      <c r="I949" s="84">
        <f t="shared" si="28"/>
        <v>37.194851739094304</v>
      </c>
      <c r="J949" s="85">
        <f t="shared" si="29"/>
        <v>15.385009761726195</v>
      </c>
    </row>
    <row r="950" spans="7:10" x14ac:dyDescent="0.2">
      <c r="G950" s="82">
        <v>945</v>
      </c>
      <c r="H950" s="83">
        <v>-0.32771800000000001</v>
      </c>
      <c r="I950" s="84">
        <f t="shared" si="28"/>
        <v>47.942554809217889</v>
      </c>
      <c r="J950" s="85">
        <f t="shared" si="29"/>
        <v>4.6373066916026104</v>
      </c>
    </row>
    <row r="951" spans="7:10" x14ac:dyDescent="0.2">
      <c r="G951" s="82">
        <v>946</v>
      </c>
      <c r="H951" s="83">
        <v>1.241881</v>
      </c>
      <c r="I951" s="84">
        <f t="shared" si="28"/>
        <v>66.884399484994645</v>
      </c>
      <c r="J951" s="85">
        <f t="shared" si="29"/>
        <v>-14.304537984174146</v>
      </c>
    </row>
    <row r="952" spans="7:10" x14ac:dyDescent="0.2">
      <c r="G952" s="82">
        <v>947</v>
      </c>
      <c r="H952" s="83">
        <v>-1.8323990000000001</v>
      </c>
      <c r="I952" s="84">
        <f t="shared" si="28"/>
        <v>34.841614029024129</v>
      </c>
      <c r="J952" s="85">
        <f t="shared" si="29"/>
        <v>17.73824747179637</v>
      </c>
    </row>
    <row r="953" spans="7:10" x14ac:dyDescent="0.2">
      <c r="G953" s="82">
        <v>948</v>
      </c>
      <c r="H953" s="83">
        <v>0.87598299999999996</v>
      </c>
      <c r="I953" s="84">
        <f t="shared" si="28"/>
        <v>61.88928489786646</v>
      </c>
      <c r="J953" s="85">
        <f t="shared" si="29"/>
        <v>-9.3094233970459612</v>
      </c>
    </row>
    <row r="954" spans="7:10" x14ac:dyDescent="0.2">
      <c r="G954" s="82">
        <v>949</v>
      </c>
      <c r="H954" s="83">
        <v>1.201263</v>
      </c>
      <c r="I954" s="84">
        <f t="shared" si="28"/>
        <v>66.310573851472199</v>
      </c>
      <c r="J954" s="85">
        <f t="shared" si="29"/>
        <v>-13.7307123506517</v>
      </c>
    </row>
    <row r="955" spans="7:10" x14ac:dyDescent="0.2">
      <c r="G955" s="82">
        <v>950</v>
      </c>
      <c r="H955" s="83">
        <v>0.27693899999999999</v>
      </c>
      <c r="I955" s="84">
        <f t="shared" si="28"/>
        <v>54.503811711857963</v>
      </c>
      <c r="J955" s="85">
        <f t="shared" si="29"/>
        <v>-1.9239502110374644</v>
      </c>
    </row>
    <row r="956" spans="7:10" x14ac:dyDescent="0.2">
      <c r="G956" s="82">
        <v>951</v>
      </c>
      <c r="H956" s="83">
        <v>-1.848965</v>
      </c>
      <c r="I956" s="84">
        <f t="shared" si="28"/>
        <v>34.719389236582565</v>
      </c>
      <c r="J956" s="85">
        <f t="shared" si="29"/>
        <v>17.860472264237934</v>
      </c>
    </row>
    <row r="957" spans="7:10" x14ac:dyDescent="0.2">
      <c r="G957" s="82">
        <v>952</v>
      </c>
      <c r="H957" s="83">
        <v>0.54827000000000004</v>
      </c>
      <c r="I957" s="84">
        <f t="shared" si="28"/>
        <v>57.732982803246394</v>
      </c>
      <c r="J957" s="85">
        <f t="shared" si="29"/>
        <v>-5.1531213024258946</v>
      </c>
    </row>
    <row r="958" spans="7:10" x14ac:dyDescent="0.2">
      <c r="G958" s="82">
        <v>953</v>
      </c>
      <c r="H958" s="83">
        <v>-1.139966</v>
      </c>
      <c r="I958" s="84">
        <f t="shared" si="28"/>
        <v>40.354370304491262</v>
      </c>
      <c r="J958" s="85">
        <f t="shared" si="29"/>
        <v>12.225491196329237</v>
      </c>
    </row>
    <row r="959" spans="7:10" x14ac:dyDescent="0.2">
      <c r="G959" s="82">
        <v>954</v>
      </c>
      <c r="H959" s="83">
        <v>-0.432699</v>
      </c>
      <c r="I959" s="84">
        <f t="shared" si="28"/>
        <v>46.886682799555246</v>
      </c>
      <c r="J959" s="85">
        <f t="shared" si="29"/>
        <v>5.6931787012652535</v>
      </c>
    </row>
    <row r="960" spans="7:10" x14ac:dyDescent="0.2">
      <c r="G960" s="82">
        <v>955</v>
      </c>
      <c r="H960" s="83">
        <v>-0.53700800000000004</v>
      </c>
      <c r="I960" s="84">
        <f t="shared" si="28"/>
        <v>45.860602076639317</v>
      </c>
      <c r="J960" s="85">
        <f t="shared" si="29"/>
        <v>6.7192594241811818</v>
      </c>
    </row>
    <row r="961" spans="7:10" x14ac:dyDescent="0.2">
      <c r="G961" s="82">
        <v>956</v>
      </c>
      <c r="H961" s="83">
        <v>-0.83160599999999996</v>
      </c>
      <c r="I961" s="84">
        <f t="shared" si="28"/>
        <v>43.082321237805729</v>
      </c>
      <c r="J961" s="85">
        <f t="shared" si="29"/>
        <v>9.4975402630147698</v>
      </c>
    </row>
    <row r="962" spans="7:10" x14ac:dyDescent="0.2">
      <c r="G962" s="82">
        <v>957</v>
      </c>
      <c r="H962" s="83">
        <v>-1.102984</v>
      </c>
      <c r="I962" s="84">
        <f t="shared" si="28"/>
        <v>40.672198099112798</v>
      </c>
      <c r="J962" s="85">
        <f t="shared" si="29"/>
        <v>11.907663401707701</v>
      </c>
    </row>
    <row r="963" spans="7:10" x14ac:dyDescent="0.2">
      <c r="G963" s="82">
        <v>958</v>
      </c>
      <c r="H963" s="83">
        <v>0.53404200000000002</v>
      </c>
      <c r="I963" s="84">
        <f t="shared" si="28"/>
        <v>57.558994970911456</v>
      </c>
      <c r="J963" s="85">
        <f t="shared" si="29"/>
        <v>-4.9791334700909573</v>
      </c>
    </row>
    <row r="964" spans="7:10" x14ac:dyDescent="0.2">
      <c r="G964" s="82">
        <v>959</v>
      </c>
      <c r="H964" s="83">
        <v>1.1305799999999999</v>
      </c>
      <c r="I964" s="84">
        <f t="shared" si="28"/>
        <v>65.323721564608917</v>
      </c>
      <c r="J964" s="85">
        <f t="shared" si="29"/>
        <v>-12.743860063788418</v>
      </c>
    </row>
    <row r="965" spans="7:10" x14ac:dyDescent="0.2">
      <c r="G965" s="82">
        <v>960</v>
      </c>
      <c r="H965" s="83">
        <v>-0.50560099999999997</v>
      </c>
      <c r="I965" s="84">
        <f t="shared" si="28"/>
        <v>46.167165258576901</v>
      </c>
      <c r="J965" s="85">
        <f t="shared" si="29"/>
        <v>6.412696242243598</v>
      </c>
    </row>
    <row r="966" spans="7:10" x14ac:dyDescent="0.2">
      <c r="G966" s="82">
        <v>961</v>
      </c>
      <c r="H966" s="83">
        <v>-1.2112309999999999</v>
      </c>
      <c r="I966" s="84">
        <f t="shared" ref="I966:I1029" si="30">$C$8*EXP(($C$11-$C$12^2/2)*$C$14+H966*$C$12*SQRT($C$14))</f>
        <v>39.748897677140903</v>
      </c>
      <c r="J966" s="85">
        <f t="shared" ref="J966:J1029" si="31">($C$9*EXP(-$C$10*($C$13-$C$14))-I966)*$C$15/1000000</f>
        <v>12.830963823679596</v>
      </c>
    </row>
    <row r="967" spans="7:10" x14ac:dyDescent="0.2">
      <c r="G967" s="82">
        <v>962</v>
      </c>
      <c r="H967" s="83">
        <v>0.92341200000000001</v>
      </c>
      <c r="I967" s="84">
        <f t="shared" si="30"/>
        <v>62.515109000617173</v>
      </c>
      <c r="J967" s="85">
        <f t="shared" si="31"/>
        <v>-9.9352474997966738</v>
      </c>
    </row>
    <row r="968" spans="7:10" x14ac:dyDescent="0.2">
      <c r="G968" s="82">
        <v>963</v>
      </c>
      <c r="H968" s="83">
        <v>0.58254300000000003</v>
      </c>
      <c r="I968" s="84">
        <f t="shared" si="30"/>
        <v>58.154254302230889</v>
      </c>
      <c r="J968" s="85">
        <f t="shared" si="31"/>
        <v>-5.5743928014103901</v>
      </c>
    </row>
    <row r="969" spans="7:10" x14ac:dyDescent="0.2">
      <c r="G969" s="82">
        <v>964</v>
      </c>
      <c r="H969" s="83">
        <v>0.219389</v>
      </c>
      <c r="I969" s="84">
        <f t="shared" si="30"/>
        <v>53.842463504319738</v>
      </c>
      <c r="J969" s="85">
        <f t="shared" si="31"/>
        <v>-1.2626020034992393</v>
      </c>
    </row>
    <row r="970" spans="7:10" x14ac:dyDescent="0.2">
      <c r="G970" s="82">
        <v>965</v>
      </c>
      <c r="H970" s="83">
        <v>0.31763200000000003</v>
      </c>
      <c r="I970" s="84">
        <f t="shared" si="30"/>
        <v>54.976340929383468</v>
      </c>
      <c r="J970" s="85">
        <f t="shared" si="31"/>
        <v>-2.3964794285629694</v>
      </c>
    </row>
    <row r="971" spans="7:10" x14ac:dyDescent="0.2">
      <c r="G971" s="82">
        <v>966</v>
      </c>
      <c r="H971" s="83">
        <v>-1.02793</v>
      </c>
      <c r="I971" s="84">
        <f t="shared" si="30"/>
        <v>41.324937171399363</v>
      </c>
      <c r="J971" s="85">
        <f t="shared" si="31"/>
        <v>11.254924329421137</v>
      </c>
    </row>
    <row r="972" spans="7:10" x14ac:dyDescent="0.2">
      <c r="G972" s="82">
        <v>967</v>
      </c>
      <c r="H972" s="83">
        <v>-2.2370420000000002</v>
      </c>
      <c r="I972" s="84">
        <f t="shared" si="30"/>
        <v>31.975651898988357</v>
      </c>
      <c r="J972" s="85">
        <f t="shared" si="31"/>
        <v>20.604209601832142</v>
      </c>
    </row>
    <row r="973" spans="7:10" x14ac:dyDescent="0.2">
      <c r="G973" s="82">
        <v>968</v>
      </c>
      <c r="H973" s="83">
        <v>-0.403283</v>
      </c>
      <c r="I973" s="84">
        <f t="shared" si="30"/>
        <v>47.180174011363349</v>
      </c>
      <c r="J973" s="85">
        <f t="shared" si="31"/>
        <v>5.3996874894571505</v>
      </c>
    </row>
    <row r="974" spans="7:10" x14ac:dyDescent="0.2">
      <c r="G974" s="82">
        <v>969</v>
      </c>
      <c r="H974" s="83">
        <v>0.37039100000000003</v>
      </c>
      <c r="I974" s="84">
        <f t="shared" si="30"/>
        <v>55.595085205522331</v>
      </c>
      <c r="J974" s="85">
        <f t="shared" si="31"/>
        <v>-3.0152237047018318</v>
      </c>
    </row>
    <row r="975" spans="7:10" x14ac:dyDescent="0.2">
      <c r="G975" s="82">
        <v>970</v>
      </c>
      <c r="H975" s="83">
        <v>0.79037900000000005</v>
      </c>
      <c r="I975" s="84">
        <f t="shared" si="30"/>
        <v>60.775558549624499</v>
      </c>
      <c r="J975" s="85">
        <f t="shared" si="31"/>
        <v>-8.195697048804</v>
      </c>
    </row>
    <row r="976" spans="7:10" x14ac:dyDescent="0.2">
      <c r="G976" s="82">
        <v>971</v>
      </c>
      <c r="H976" s="83">
        <v>1.0403089999999999</v>
      </c>
      <c r="I976" s="84">
        <f t="shared" si="30"/>
        <v>64.084714359383838</v>
      </c>
      <c r="J976" s="85">
        <f t="shared" si="31"/>
        <v>-11.504852858563339</v>
      </c>
    </row>
    <row r="977" spans="7:10" x14ac:dyDescent="0.2">
      <c r="G977" s="82">
        <v>972</v>
      </c>
      <c r="H977" s="83">
        <v>-0.48242099999999999</v>
      </c>
      <c r="I977" s="84">
        <f t="shared" si="30"/>
        <v>46.394738447856035</v>
      </c>
      <c r="J977" s="85">
        <f t="shared" si="31"/>
        <v>6.1851230529644639</v>
      </c>
    </row>
    <row r="978" spans="7:10" x14ac:dyDescent="0.2">
      <c r="G978" s="82">
        <v>973</v>
      </c>
      <c r="H978" s="83">
        <v>0.41663299999999998</v>
      </c>
      <c r="I978" s="84">
        <f t="shared" si="30"/>
        <v>56.14312373695045</v>
      </c>
      <c r="J978" s="85">
        <f t="shared" si="31"/>
        <v>-3.5632622361299511</v>
      </c>
    </row>
    <row r="979" spans="7:10" x14ac:dyDescent="0.2">
      <c r="G979" s="82">
        <v>974</v>
      </c>
      <c r="H979" s="83">
        <v>-2.2883420000000001</v>
      </c>
      <c r="I979" s="84">
        <f t="shared" si="30"/>
        <v>31.629567442097422</v>
      </c>
      <c r="J979" s="85">
        <f t="shared" si="31"/>
        <v>20.950294058723077</v>
      </c>
    </row>
    <row r="980" spans="7:10" x14ac:dyDescent="0.2">
      <c r="G980" s="82">
        <v>975</v>
      </c>
      <c r="H980" s="83">
        <v>0.26118200000000003</v>
      </c>
      <c r="I980" s="84">
        <f t="shared" si="30"/>
        <v>54.321933347023496</v>
      </c>
      <c r="J980" s="85">
        <f t="shared" si="31"/>
        <v>-1.7420718462029967</v>
      </c>
    </row>
    <row r="981" spans="7:10" x14ac:dyDescent="0.2">
      <c r="G981" s="82">
        <v>976</v>
      </c>
      <c r="H981" s="83">
        <v>-1.1367910000000001</v>
      </c>
      <c r="I981" s="84">
        <f t="shared" si="30"/>
        <v>40.381558903055584</v>
      </c>
      <c r="J981" s="85">
        <f t="shared" si="31"/>
        <v>12.198302597764915</v>
      </c>
    </row>
    <row r="982" spans="7:10" x14ac:dyDescent="0.2">
      <c r="G982" s="82">
        <v>977</v>
      </c>
      <c r="H982" s="83">
        <v>7.2460999999999998E-2</v>
      </c>
      <c r="I982" s="84">
        <f t="shared" si="30"/>
        <v>52.190177400076387</v>
      </c>
      <c r="J982" s="85">
        <f t="shared" si="31"/>
        <v>0.38968410074411253</v>
      </c>
    </row>
    <row r="983" spans="7:10" x14ac:dyDescent="0.2">
      <c r="G983" s="82">
        <v>978</v>
      </c>
      <c r="H983" s="83">
        <v>0.50975599999999999</v>
      </c>
      <c r="I983" s="84">
        <f t="shared" si="30"/>
        <v>57.263222858901955</v>
      </c>
      <c r="J983" s="85">
        <f t="shared" si="31"/>
        <v>-4.6833613580814557</v>
      </c>
    </row>
    <row r="984" spans="7:10" x14ac:dyDescent="0.2">
      <c r="G984" s="82">
        <v>979</v>
      </c>
      <c r="H984" s="83">
        <v>0.37955899999999998</v>
      </c>
      <c r="I984" s="84">
        <f t="shared" si="30"/>
        <v>55.703313208228423</v>
      </c>
      <c r="J984" s="85">
        <f t="shared" si="31"/>
        <v>-3.1234517074079235</v>
      </c>
    </row>
    <row r="985" spans="7:10" x14ac:dyDescent="0.2">
      <c r="G985" s="82">
        <v>980</v>
      </c>
      <c r="H985" s="83">
        <v>-0.64954599999999996</v>
      </c>
      <c r="I985" s="84">
        <f t="shared" si="30"/>
        <v>44.77874079827231</v>
      </c>
      <c r="J985" s="85">
        <f t="shared" si="31"/>
        <v>7.8011207025481895</v>
      </c>
    </row>
    <row r="986" spans="7:10" x14ac:dyDescent="0.2">
      <c r="G986" s="82">
        <v>981</v>
      </c>
      <c r="H986" s="83">
        <v>0.76825600000000005</v>
      </c>
      <c r="I986" s="84">
        <f t="shared" si="30"/>
        <v>60.491007257348869</v>
      </c>
      <c r="J986" s="85">
        <f t="shared" si="31"/>
        <v>-7.91114575652837</v>
      </c>
    </row>
    <row r="987" spans="7:10" x14ac:dyDescent="0.2">
      <c r="G987" s="82">
        <v>982</v>
      </c>
      <c r="H987" s="83">
        <v>-0.80911</v>
      </c>
      <c r="I987" s="84">
        <f t="shared" si="30"/>
        <v>43.288406682712271</v>
      </c>
      <c r="J987" s="85">
        <f t="shared" si="31"/>
        <v>9.2914548181082282</v>
      </c>
    </row>
    <row r="988" spans="7:10" x14ac:dyDescent="0.2">
      <c r="G988" s="82">
        <v>983</v>
      </c>
      <c r="H988" s="83">
        <v>0.44587100000000002</v>
      </c>
      <c r="I988" s="84">
        <f t="shared" si="30"/>
        <v>56.492423268554191</v>
      </c>
      <c r="J988" s="85">
        <f t="shared" si="31"/>
        <v>-3.9125617677336919</v>
      </c>
    </row>
    <row r="989" spans="7:10" x14ac:dyDescent="0.2">
      <c r="G989" s="82">
        <v>984</v>
      </c>
      <c r="H989" s="83">
        <v>0.51613500000000001</v>
      </c>
      <c r="I989" s="84">
        <f t="shared" si="30"/>
        <v>57.340763345278155</v>
      </c>
      <c r="J989" s="85">
        <f t="shared" si="31"/>
        <v>-4.7609018444576563</v>
      </c>
    </row>
    <row r="990" spans="7:10" x14ac:dyDescent="0.2">
      <c r="G990" s="82">
        <v>985</v>
      </c>
      <c r="H990" s="83">
        <v>9.3779999999999992E-3</v>
      </c>
      <c r="I990" s="84">
        <f t="shared" si="30"/>
        <v>51.496424580915836</v>
      </c>
      <c r="J990" s="85">
        <f t="shared" si="31"/>
        <v>1.0834369199046634</v>
      </c>
    </row>
    <row r="991" spans="7:10" x14ac:dyDescent="0.2">
      <c r="G991" s="82">
        <v>986</v>
      </c>
      <c r="H991" s="83">
        <v>-0.102891</v>
      </c>
      <c r="I991" s="84">
        <f t="shared" si="30"/>
        <v>50.284482388222862</v>
      </c>
      <c r="J991" s="85">
        <f t="shared" si="31"/>
        <v>2.2953791125976366</v>
      </c>
    </row>
    <row r="992" spans="7:10" x14ac:dyDescent="0.2">
      <c r="G992" s="82">
        <v>987</v>
      </c>
      <c r="H992" s="83">
        <v>-0.77589799999999998</v>
      </c>
      <c r="I992" s="84">
        <f t="shared" si="30"/>
        <v>43.594464628596647</v>
      </c>
      <c r="J992" s="85">
        <f t="shared" si="31"/>
        <v>8.985396872223852</v>
      </c>
    </row>
    <row r="993" spans="7:10" x14ac:dyDescent="0.2">
      <c r="G993" s="82">
        <v>988</v>
      </c>
      <c r="H993" s="83">
        <v>-5.7662999999999999E-2</v>
      </c>
      <c r="I993" s="84">
        <f t="shared" si="30"/>
        <v>50.769248963512091</v>
      </c>
      <c r="J993" s="85">
        <f t="shared" si="31"/>
        <v>1.8106125373084083</v>
      </c>
    </row>
    <row r="994" spans="7:10" x14ac:dyDescent="0.2">
      <c r="G994" s="82">
        <v>989</v>
      </c>
      <c r="H994" s="83">
        <v>1.940752</v>
      </c>
      <c r="I994" s="84">
        <f t="shared" si="30"/>
        <v>77.572941577331179</v>
      </c>
      <c r="J994" s="85">
        <f t="shared" si="31"/>
        <v>-24.99308007651068</v>
      </c>
    </row>
    <row r="995" spans="7:10" x14ac:dyDescent="0.2">
      <c r="G995" s="82">
        <v>990</v>
      </c>
      <c r="H995" s="83">
        <v>0.31866299999999997</v>
      </c>
      <c r="I995" s="84">
        <f t="shared" si="30"/>
        <v>54.988366016904855</v>
      </c>
      <c r="J995" s="85">
        <f t="shared" si="31"/>
        <v>-2.4085045160843563</v>
      </c>
    </row>
    <row r="996" spans="7:10" x14ac:dyDescent="0.2">
      <c r="G996" s="82">
        <v>991</v>
      </c>
      <c r="H996" s="83">
        <v>-0.54242400000000002</v>
      </c>
      <c r="I996" s="84">
        <f t="shared" si="30"/>
        <v>45.807942761514546</v>
      </c>
      <c r="J996" s="85">
        <f t="shared" si="31"/>
        <v>6.7719187393059528</v>
      </c>
    </row>
    <row r="997" spans="7:10" x14ac:dyDescent="0.2">
      <c r="G997" s="82">
        <v>992</v>
      </c>
      <c r="H997" s="83">
        <v>1.4766E-2</v>
      </c>
      <c r="I997" s="84">
        <f t="shared" si="30"/>
        <v>51.555316965111899</v>
      </c>
      <c r="J997" s="85">
        <f t="shared" si="31"/>
        <v>1.0245445357085998</v>
      </c>
    </row>
    <row r="998" spans="7:10" x14ac:dyDescent="0.2">
      <c r="G998" s="82">
        <v>993</v>
      </c>
      <c r="H998" s="83">
        <v>1.9117109999999999</v>
      </c>
      <c r="I998" s="84">
        <f t="shared" si="30"/>
        <v>77.09652043135317</v>
      </c>
      <c r="J998" s="85">
        <f t="shared" si="31"/>
        <v>-24.516658930532671</v>
      </c>
    </row>
    <row r="999" spans="7:10" x14ac:dyDescent="0.2">
      <c r="G999" s="82">
        <v>994</v>
      </c>
      <c r="H999" s="83">
        <v>1.2129209999999999</v>
      </c>
      <c r="I999" s="84">
        <f t="shared" si="30"/>
        <v>66.474765180278041</v>
      </c>
      <c r="J999" s="85">
        <f t="shared" si="31"/>
        <v>-13.894903679457542</v>
      </c>
    </row>
    <row r="1000" spans="7:10" x14ac:dyDescent="0.2">
      <c r="G1000" s="82">
        <v>995</v>
      </c>
      <c r="H1000" s="83">
        <v>-0.317884</v>
      </c>
      <c r="I1000" s="84">
        <f t="shared" si="30"/>
        <v>48.042672472619849</v>
      </c>
      <c r="J1000" s="85">
        <f t="shared" si="31"/>
        <v>4.5371890282006504</v>
      </c>
    </row>
    <row r="1001" spans="7:10" x14ac:dyDescent="0.2">
      <c r="G1001" s="82">
        <v>996</v>
      </c>
      <c r="H1001" s="83">
        <v>-0.34146700000000002</v>
      </c>
      <c r="I1001" s="84">
        <f t="shared" si="30"/>
        <v>47.802929109085653</v>
      </c>
      <c r="J1001" s="85">
        <f t="shared" si="31"/>
        <v>4.7769323917348459</v>
      </c>
    </row>
    <row r="1002" spans="7:10" x14ac:dyDescent="0.2">
      <c r="G1002" s="82">
        <v>997</v>
      </c>
      <c r="H1002" s="83">
        <v>-0.89121300000000003</v>
      </c>
      <c r="I1002" s="84">
        <f t="shared" si="30"/>
        <v>42.540994125539491</v>
      </c>
      <c r="J1002" s="85">
        <f t="shared" si="31"/>
        <v>10.038867375281008</v>
      </c>
    </row>
    <row r="1003" spans="7:10" x14ac:dyDescent="0.2">
      <c r="G1003" s="82">
        <v>998</v>
      </c>
      <c r="H1003" s="83">
        <v>-0.14437700000000001</v>
      </c>
      <c r="I1003" s="84">
        <f t="shared" si="30"/>
        <v>49.843894860339347</v>
      </c>
      <c r="J1003" s="85">
        <f t="shared" si="31"/>
        <v>2.735966640481152</v>
      </c>
    </row>
    <row r="1004" spans="7:10" x14ac:dyDescent="0.2">
      <c r="G1004" s="82">
        <v>999</v>
      </c>
      <c r="H1004" s="83">
        <v>-0.88698600000000005</v>
      </c>
      <c r="I1004" s="84">
        <f t="shared" si="30"/>
        <v>42.579156981298368</v>
      </c>
      <c r="J1004" s="85">
        <f t="shared" si="31"/>
        <v>10.000704519522131</v>
      </c>
    </row>
    <row r="1005" spans="7:10" x14ac:dyDescent="0.2">
      <c r="G1005" s="82">
        <v>1000</v>
      </c>
      <c r="H1005" s="83">
        <v>-0.63848099999999997</v>
      </c>
      <c r="I1005" s="84">
        <f t="shared" si="30"/>
        <v>44.883970744523893</v>
      </c>
      <c r="J1005" s="85">
        <f t="shared" si="31"/>
        <v>7.6958907562966061</v>
      </c>
    </row>
  </sheetData>
  <mergeCells count="16">
    <mergeCell ref="A27:E28"/>
    <mergeCell ref="D13:E13"/>
    <mergeCell ref="D14:E14"/>
    <mergeCell ref="D15:E15"/>
    <mergeCell ref="D16:E16"/>
    <mergeCell ref="A18:E18"/>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1E7F82"/>
    <pageSetUpPr fitToPage="1"/>
  </sheetPr>
  <dimension ref="A1:E30"/>
  <sheetViews>
    <sheetView showGridLines="0" zoomScaleNormal="100" workbookViewId="0"/>
  </sheetViews>
  <sheetFormatPr baseColWidth="10" defaultColWidth="8.6640625" defaultRowHeight="15" x14ac:dyDescent="0.2"/>
  <cols>
    <col min="1" max="1" width="46" customWidth="1"/>
    <col min="2" max="2" width="10" customWidth="1"/>
    <col min="3" max="3" width="50" customWidth="1"/>
    <col min="4" max="4" width="20" customWidth="1"/>
    <col min="5" max="5" width="52" customWidth="1"/>
    <col min="6" max="7" width="4" customWidth="1"/>
  </cols>
  <sheetData>
    <row r="1" spans="1:5" ht="31.5" customHeight="1" x14ac:dyDescent="0.2">
      <c r="A1" s="3" t="s">
        <v>651</v>
      </c>
      <c r="B1" s="3"/>
      <c r="C1" s="3"/>
      <c r="D1" s="3"/>
      <c r="E1" s="3"/>
    </row>
    <row r="2" spans="1:5" ht="36" customHeight="1" x14ac:dyDescent="0.2">
      <c r="A2" s="2" t="s">
        <v>652</v>
      </c>
      <c r="B2" s="2"/>
      <c r="C2" s="2"/>
      <c r="D2" s="2"/>
      <c r="E2" s="2"/>
    </row>
    <row r="3" spans="1:5" ht="19.5" customHeight="1" x14ac:dyDescent="0.2">
      <c r="A3" s="1" t="s">
        <v>653</v>
      </c>
      <c r="B3" s="1"/>
      <c r="C3" s="1"/>
      <c r="D3" s="1"/>
      <c r="E3" s="1"/>
    </row>
    <row r="6" spans="1:5" ht="24" customHeight="1" x14ac:dyDescent="0.2">
      <c r="A6" s="91" t="s">
        <v>238</v>
      </c>
      <c r="B6" s="91"/>
      <c r="C6" s="91"/>
      <c r="D6" s="91"/>
      <c r="E6" s="91"/>
    </row>
    <row r="7" spans="1:5" ht="21.75" customHeight="1" x14ac:dyDescent="0.2">
      <c r="A7" s="40" t="s">
        <v>239</v>
      </c>
      <c r="B7" s="40" t="s">
        <v>240</v>
      </c>
      <c r="C7" s="40" t="s">
        <v>241</v>
      </c>
      <c r="D7" s="92" t="s">
        <v>242</v>
      </c>
      <c r="E7" s="92"/>
    </row>
    <row r="8" spans="1:5" ht="19" x14ac:dyDescent="0.25">
      <c r="A8" s="16" t="s">
        <v>654</v>
      </c>
      <c r="B8" s="25" t="s">
        <v>655</v>
      </c>
      <c r="C8" s="42">
        <v>0.6</v>
      </c>
      <c r="D8" s="93"/>
      <c r="E8" s="93"/>
    </row>
    <row r="9" spans="1:5" ht="19" x14ac:dyDescent="0.25">
      <c r="A9" s="16" t="s">
        <v>656</v>
      </c>
      <c r="B9" s="25" t="s">
        <v>252</v>
      </c>
      <c r="C9" s="42">
        <v>0.3</v>
      </c>
      <c r="D9" s="93"/>
      <c r="E9" s="93"/>
    </row>
    <row r="10" spans="1:5" ht="19" x14ac:dyDescent="0.25">
      <c r="A10" s="16" t="s">
        <v>657</v>
      </c>
      <c r="B10" s="25" t="s">
        <v>658</v>
      </c>
      <c r="C10" s="42">
        <v>0.2</v>
      </c>
      <c r="D10" s="93"/>
      <c r="E10" s="93"/>
    </row>
    <row r="11" spans="1:5" ht="19" x14ac:dyDescent="0.25">
      <c r="A11" s="16" t="s">
        <v>659</v>
      </c>
      <c r="B11" s="25" t="s">
        <v>660</v>
      </c>
      <c r="C11" s="42">
        <v>6.5000000000000002E-2</v>
      </c>
      <c r="D11" s="93"/>
      <c r="E11" s="93"/>
    </row>
    <row r="12" spans="1:5" ht="19" x14ac:dyDescent="0.25">
      <c r="A12" s="16" t="s">
        <v>661</v>
      </c>
      <c r="B12" s="25" t="s">
        <v>662</v>
      </c>
      <c r="C12" s="42">
        <v>0.06</v>
      </c>
      <c r="D12" s="93"/>
      <c r="E12" s="93"/>
    </row>
    <row r="13" spans="1:5" ht="19" x14ac:dyDescent="0.25">
      <c r="A13" s="16" t="s">
        <v>663</v>
      </c>
      <c r="B13" s="25" t="s">
        <v>655</v>
      </c>
      <c r="C13" s="42">
        <v>0.3</v>
      </c>
      <c r="D13" s="93"/>
      <c r="E13" s="93"/>
    </row>
    <row r="14" spans="1:5" ht="19" x14ac:dyDescent="0.25">
      <c r="A14" s="16" t="s">
        <v>664</v>
      </c>
      <c r="B14" s="25" t="s">
        <v>252</v>
      </c>
      <c r="C14" s="42">
        <v>0.4</v>
      </c>
      <c r="D14" s="93"/>
      <c r="E14" s="93"/>
    </row>
    <row r="16" spans="1:5" ht="24" customHeight="1" x14ac:dyDescent="0.2">
      <c r="A16" s="91" t="s">
        <v>257</v>
      </c>
      <c r="B16" s="91"/>
      <c r="C16" s="91"/>
      <c r="D16" s="91"/>
      <c r="E16" s="91"/>
    </row>
    <row r="17" spans="1:5" ht="21.75" customHeight="1" x14ac:dyDescent="0.2">
      <c r="A17" s="40" t="s">
        <v>258</v>
      </c>
      <c r="B17" s="40" t="s">
        <v>240</v>
      </c>
      <c r="C17" s="40" t="s">
        <v>259</v>
      </c>
      <c r="D17" s="40" t="s">
        <v>260</v>
      </c>
      <c r="E17" s="40" t="s">
        <v>261</v>
      </c>
    </row>
    <row r="18" spans="1:5" ht="30" customHeight="1" x14ac:dyDescent="0.25">
      <c r="A18" s="16" t="s">
        <v>665</v>
      </c>
      <c r="B18" s="25" t="s">
        <v>666</v>
      </c>
      <c r="C18" s="44" t="s">
        <v>667</v>
      </c>
      <c r="D18" s="90">
        <f>$C$8*$C$9/$C$10</f>
        <v>0.89999999999999991</v>
      </c>
      <c r="E18" s="46" t="s">
        <v>668</v>
      </c>
    </row>
    <row r="19" spans="1:5" ht="30" customHeight="1" x14ac:dyDescent="0.25">
      <c r="A19" s="25" t="s">
        <v>669</v>
      </c>
      <c r="B19" s="25" t="s">
        <v>670</v>
      </c>
      <c r="C19" s="44" t="s">
        <v>671</v>
      </c>
      <c r="D19" s="47">
        <f>$C$11+$D$18*$C$12</f>
        <v>0.11899999999999999</v>
      </c>
      <c r="E19" s="46" t="s">
        <v>672</v>
      </c>
    </row>
    <row r="20" spans="1:5" ht="30" customHeight="1" x14ac:dyDescent="0.25">
      <c r="A20" s="16" t="s">
        <v>673</v>
      </c>
      <c r="B20" s="25" t="s">
        <v>674</v>
      </c>
      <c r="C20" s="44" t="s">
        <v>675</v>
      </c>
      <c r="D20" s="45">
        <f>$C$13*$C$12/$C$10</f>
        <v>8.9999999999999983E-2</v>
      </c>
      <c r="E20" s="46" t="s">
        <v>676</v>
      </c>
    </row>
    <row r="21" spans="1:5" ht="30" customHeight="1" x14ac:dyDescent="0.25">
      <c r="A21" s="25" t="s">
        <v>677</v>
      </c>
      <c r="B21" s="25" t="s">
        <v>678</v>
      </c>
      <c r="C21" s="44" t="s">
        <v>679</v>
      </c>
      <c r="D21" s="47">
        <f>$D$20*$C$14</f>
        <v>3.5999999999999997E-2</v>
      </c>
      <c r="E21" s="46" t="s">
        <v>680</v>
      </c>
    </row>
    <row r="23" spans="1:5" ht="33.75" customHeight="1" x14ac:dyDescent="0.2">
      <c r="A23" s="94" t="str">
        <f>"(a) β = "&amp;TEXT($D$18,"0.00")&amp;", real-world return "&amp;TEXT($D$19,"0.0%")&amp;"     (b) λ = "&amp;TEXT($D$20,"0.00")&amp;", real-world drift "&amp;TEXT($D$21,"0.0%")&amp;" above risk-neutral"</f>
        <v>(a) β = 0.90, real-world return 11.9%     (b) λ = 0.09, real-world drift 3.6% above risk-neutral</v>
      </c>
      <c r="B23" s="94"/>
      <c r="C23" s="94"/>
      <c r="D23" s="94"/>
      <c r="E23" s="94"/>
    </row>
    <row r="25" spans="1:5" ht="24" customHeight="1" x14ac:dyDescent="0.2">
      <c r="A25" s="91" t="s">
        <v>282</v>
      </c>
      <c r="B25" s="91"/>
      <c r="C25" s="91"/>
      <c r="D25" s="91"/>
      <c r="E25" s="91"/>
    </row>
    <row r="26" spans="1:5" ht="21.75" customHeight="1" x14ac:dyDescent="0.2">
      <c r="A26" s="40" t="s">
        <v>283</v>
      </c>
      <c r="B26" s="40"/>
      <c r="C26" s="40" t="s">
        <v>284</v>
      </c>
      <c r="D26" s="40" t="s">
        <v>285</v>
      </c>
      <c r="E26" s="40" t="s">
        <v>286</v>
      </c>
    </row>
    <row r="27" spans="1:5" ht="19" x14ac:dyDescent="0.25">
      <c r="A27" s="16" t="s">
        <v>681</v>
      </c>
      <c r="B27" s="48"/>
      <c r="C27" s="49">
        <v>3.5999999999999997E-2</v>
      </c>
      <c r="D27" s="50">
        <f>$D$21</f>
        <v>3.5999999999999997E-2</v>
      </c>
      <c r="E27" s="18" t="str">
        <f>IF(ABS($D$21-C27)&lt;=0.0001,"MATCH","CHECK")</f>
        <v>MATCH</v>
      </c>
    </row>
    <row r="29" spans="1:5" ht="30" customHeight="1" x14ac:dyDescent="0.2">
      <c r="A29" s="6" t="s">
        <v>682</v>
      </c>
      <c r="B29" s="6"/>
      <c r="C29" s="6"/>
      <c r="D29" s="6"/>
      <c r="E29" s="6"/>
    </row>
    <row r="30" spans="1:5" ht="30" customHeight="1" x14ac:dyDescent="0.2">
      <c r="A30" s="6"/>
      <c r="B30" s="6"/>
      <c r="C30" s="6"/>
      <c r="D30" s="6"/>
      <c r="E30" s="6"/>
    </row>
  </sheetData>
  <mergeCells count="16">
    <mergeCell ref="A29:E30"/>
    <mergeCell ref="D13:E13"/>
    <mergeCell ref="D14:E14"/>
    <mergeCell ref="A16:E16"/>
    <mergeCell ref="A23:E23"/>
    <mergeCell ref="A25:E25"/>
    <mergeCell ref="D8:E8"/>
    <mergeCell ref="D9:E9"/>
    <mergeCell ref="D10:E10"/>
    <mergeCell ref="D11:E11"/>
    <mergeCell ref="D12:E12"/>
    <mergeCell ref="A1:E1"/>
    <mergeCell ref="A2:E2"/>
    <mergeCell ref="A3:E3"/>
    <mergeCell ref="A6:E6"/>
    <mergeCell ref="D7:E7"/>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Index</vt:lpstr>
      <vt:lpstr>Q&amp;A Chapter 7</vt:lpstr>
      <vt:lpstr>P1 Prob Above</vt:lpstr>
      <vt:lpstr>P2 Percentile</vt:lpstr>
      <vt:lpstr>P3 Prob Below</vt:lpstr>
      <vt:lpstr>P4 ITC Data</vt:lpstr>
      <vt:lpstr>P5 Forward</vt:lpstr>
      <vt:lpstr>P6 Binary Two Worlds</vt:lpstr>
      <vt:lpstr>P7 Binary 7.12</vt:lpstr>
      <vt:lpstr>P8 Binary 7.6</vt:lpstr>
      <vt:lpstr>P9 State Prices</vt:lpstr>
      <vt:lpstr>P10 VaR Shares</vt:lpstr>
      <vt:lpstr>P11 Worst Case</vt:lpstr>
      <vt:lpstr>P12 PNB SBI</vt:lpstr>
      <vt:lpstr>P13 Both Worlds</vt:lpstr>
      <vt:lpstr>P14 Monte Carlo</vt:lpstr>
      <vt:lpstr>P15 CAPM Lambda</vt:lpstr>
      <vt:lpstr>'Q&amp;A Chapter 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Ravichandran Vaidyanathan</cp:lastModifiedBy>
  <cp:revision>1</cp:revision>
  <dcterms:created xsi:type="dcterms:W3CDTF">2026-10-21T01:03:28Z</dcterms:created>
  <dcterms:modified xsi:type="dcterms:W3CDTF">2026-10-21T01:10:02Z</dcterms:modified>
  <dc:language>en-US</dc:language>
</cp:coreProperties>
</file>