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0_Prerequisites" sheetId="2" state="visible" r:id="rId4"/>
    <sheet name="Inputs_BS" sheetId="3" state="visible" r:id="rId5"/>
    <sheet name="1_Delta" sheetId="4" state="visible" r:id="rId6"/>
    <sheet name="2_DeltaNeutral" sheetId="5" state="visible" r:id="rId7"/>
    <sheet name="3_Gamma" sheetId="6" state="visible" r:id="rId8"/>
    <sheet name="4_GammaDeltaNeutral" sheetId="7" state="visible" r:id="rId9"/>
    <sheet name="5_Vega" sheetId="8" state="visible" r:id="rId10"/>
    <sheet name="6_GVD_Neutral" sheetId="9" state="visible" r:id="rId11"/>
    <sheet name="7_Theta_Rho" sheetId="10" state="visible" r:id="rId12"/>
    <sheet name="8_Caselets" sheetId="11" state="visible" r:id="rId13"/>
  </sheets>
  <definedNames>
    <definedName function="false" hidden="false" name="C0_A" vbProcedure="false">Inputs_BS!$C$21</definedName>
    <definedName function="false" hidden="false" name="C0_B" vbProcedure="false">Inputs_BS!$D$21</definedName>
    <definedName function="false" hidden="false" name="C0_C" vbProcedure="false">Inputs_BS!$E$21</definedName>
    <definedName function="false" hidden="false" name="Delta_A" vbProcedure="false">Inputs_BS!$C$23</definedName>
    <definedName function="false" hidden="false" name="Delta_B" vbProcedure="false">Inputs_BS!$D$23</definedName>
    <definedName function="false" hidden="false" name="Delta_C" vbProcedure="false">Inputs_BS!$E$23</definedName>
    <definedName function="false" hidden="false" name="Gamma_A" vbProcedure="false">Inputs_BS!$C$25</definedName>
    <definedName function="false" hidden="false" name="Gamma_B" vbProcedure="false">Inputs_BS!$D$25</definedName>
    <definedName function="false" hidden="false" name="Gamma_C" vbProcedure="false">Inputs_BS!$E$25</definedName>
    <definedName function="false" hidden="false" name="h_shares" vbProcedure="false">2_DeltaNeutral!$C$10</definedName>
    <definedName function="false" hidden="false" name="K_A" vbProcedure="false">Inputs_BS!$C$14</definedName>
    <definedName function="false" hidden="false" name="K_B" vbProcedure="false">Inputs_BS!$D$14</definedName>
    <definedName function="false" hidden="false" name="K_C" vbProcedure="false">Inputs_BS!$E$14</definedName>
    <definedName function="false" hidden="false" name="nB" vbProcedure="false">6_GVD_Neutral!$C$21</definedName>
    <definedName function="false" hidden="false" name="nB_gamma" vbProcedure="false">4_GammaDeltaNeutral!$C$15</definedName>
    <definedName function="false" hidden="false" name="nC" vbProcedure="false">6_GVD_Neutral!$C$22</definedName>
    <definedName function="false" hidden="false" name="N_short" vbProcedure="false">Inputs_BS!$C$9</definedName>
    <definedName function="false" hidden="false" name="r" vbProcedure="false">Inputs_BS!$C$7</definedName>
    <definedName function="false" hidden="false" name="S0" vbProcedure="false">Inputs_BS!$C$6</definedName>
    <definedName function="false" hidden="false" name="sh_gamma" vbProcedure="false">4_GammaDeltaNeutral!$C$20</definedName>
    <definedName function="false" hidden="false" name="sh_gv" vbProcedure="false">6_GVD_Neutral!$C$26</definedName>
    <definedName function="false" hidden="false" name="sigma" vbProcedure="false">Inputs_BS!$C$8</definedName>
    <definedName function="false" hidden="false" name="T_A" vbProcedure="false">Inputs_BS!$C$15</definedName>
    <definedName function="false" hidden="false" name="T_B" vbProcedure="false">Inputs_BS!$D$15</definedName>
    <definedName function="false" hidden="false" name="T_C" vbProcedure="false">Inputs_BS!$E$15</definedName>
    <definedName function="false" hidden="false" name="Vega1_A" vbProcedure="false">Inputs_BS!$C$27</definedName>
    <definedName function="false" hidden="false" name="Vega1_B" vbProcedure="false">Inputs_BS!$D$27</definedName>
    <definedName function="false" hidden="false" name="Vega1_C" vbProcedure="false">Inputs_BS!$E$27</definedName>
    <definedName function="false" hidden="false" name="Vega_A" vbProcedure="false">Inputs_BS!$C$26</definedName>
    <definedName function="false" hidden="false" name="Vega_B" vbProcedure="false">Inputs_BS!$D$26</definedName>
    <definedName function="false" hidden="false" name="Vega_C" vbProcedure="false">Inputs_BS!$E$26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<sst xmlns="http://schemas.openxmlformats.org/spreadsheetml/2006/main" count="391" uniqueCount="351">
  <si>
    <t xml:space="preserve">Option Greeks — Basics (FRM)</t>
  </si>
  <si>
    <t xml:space="preserve">Delta · Gamma · Vega · Neutral portfolios — companion workbook to the PDF handout</t>
  </si>
  <si>
    <t xml:space="preserve">Sheets in this workbook</t>
  </si>
  <si>
    <t xml:space="preserve">•</t>
  </si>
  <si>
    <t xml:space="preserve">0_Prerequisites</t>
  </si>
  <si>
    <t xml:space="preserve">Payoffs at expiry, moneyness (intrinsic vs time value), BSM input effects</t>
  </si>
  <si>
    <t xml:space="preserve">Inputs_BS</t>
  </si>
  <si>
    <t xml:space="preserve">Market inputs, Options A/B/C and all Black-Scholes Greeks (the engine)</t>
  </si>
  <si>
    <t xml:space="preserve">1_Delta</t>
  </si>
  <si>
    <t xml:space="preserve">Delta N(d1) &amp; N(d1)−1, position delta of long/short positions, delta curve</t>
  </si>
  <si>
    <t xml:space="preserve">2_DeltaNeutral</t>
  </si>
  <si>
    <t xml:space="preserve">Delta-neutral hedge of 1,000 short calls + three price-move illustrations</t>
  </si>
  <si>
    <t xml:space="preserve">3_Gamma</t>
  </si>
  <si>
    <t xml:space="preserve">Gamma as 2nd derivative, sign table, Taylor approximation, gamma curves</t>
  </si>
  <si>
    <t xml:space="preserve">4_GammaDeltaNeutral</t>
  </si>
  <si>
    <t xml:space="preserve">Gamma first (option B), delta last (shares) — P&amp;L comparison</t>
  </si>
  <si>
    <t xml:space="preserve">5_Vega</t>
  </si>
  <si>
    <t xml:space="preserve">Vega by formula and by re-pricing, vega curves, vega-only hedge</t>
  </si>
  <si>
    <t xml:space="preserve">6_GVD_Neutral</t>
  </si>
  <si>
    <t xml:space="preserve">Gamma + Vega + Delta neutral via MINVERSE / MMULT / MDETERM + stress test</t>
  </si>
  <si>
    <t xml:space="preserve">7_Theta_Rho</t>
  </si>
  <si>
    <t xml:space="preserve">Why desks do not run Theta-neutral or Rho-neutral books (PDE check)</t>
  </si>
  <si>
    <t xml:space="preserve">8_Caselets</t>
  </si>
  <si>
    <t xml:space="preserve">Three solved caselets: put-writer delta hedge, Gamma+Delta, Gamma+Vega+Delta</t>
  </si>
  <si>
    <t xml:space="preserve">Colour legend</t>
  </si>
  <si>
    <t xml:space="preserve">Input</t>
  </si>
  <si>
    <t xml:space="preserve">Blue text on yellow = input you can change</t>
  </si>
  <si>
    <t xml:space="preserve">Formula</t>
  </si>
  <si>
    <t xml:space="preserve">Black = formula</t>
  </si>
  <si>
    <t xml:space="preserve">Link</t>
  </si>
  <si>
    <t xml:space="preserve">Green = link to another sheet</t>
  </si>
  <si>
    <t xml:space="preserve">How to use</t>
  </si>
  <si>
    <t xml:space="preserve">Change S, r, σ (and K, T of Options A, B, C) on Inputs_BS. Every Greek, hedge quantity, illustration, P&amp;L table and chart recalculates. Options are on 1 share each; multiply by the exchange lot size for real contracts. All P&amp;L figures are instantaneous moves (time held constant) so the effect of each Greek is isolated.</t>
  </si>
  <si>
    <t xml:space="preserve">0. Pre-requisites</t>
  </si>
  <si>
    <t xml:space="preserve">Option payoffs · Moneyness · Black-Scholes-Merton basics</t>
  </si>
  <si>
    <t xml:space="preserve">Payoff &amp; profit at expiry (K and premiums of Option A)</t>
  </si>
  <si>
    <t xml:space="preserve">Strike K</t>
  </si>
  <si>
    <t xml:space="preserve">Call premium c</t>
  </si>
  <si>
    <t xml:space="preserve">Put premium p</t>
  </si>
  <si>
    <t xml:space="preserve">Call break-even = K + c</t>
  </si>
  <si>
    <t xml:space="preserve">Put break-even = K − p</t>
  </si>
  <si>
    <t xml:space="preserve">S at expiry</t>
  </si>
  <si>
    <t xml:space="preserve">Long call</t>
  </si>
  <si>
    <t xml:space="preserve">Short call</t>
  </si>
  <si>
    <t xml:space="preserve">Long put</t>
  </si>
  <si>
    <t xml:space="preserve">Short put</t>
  </si>
  <si>
    <t xml:space="preserve">Call payoff</t>
  </si>
  <si>
    <t xml:space="preserve">Put payoff</t>
  </si>
  <si>
    <t xml:space="preserve">Moneyness: price = intrinsic value + time value (K, T of Option A)</t>
  </si>
  <si>
    <t xml:space="preserve">Spot S</t>
  </si>
  <si>
    <t xml:space="preserve">Call price</t>
  </si>
  <si>
    <t xml:space="preserve">Call intrinsic</t>
  </si>
  <si>
    <t xml:space="preserve">Call time value</t>
  </si>
  <si>
    <t xml:space="preserve">Put price</t>
  </si>
  <si>
    <t xml:space="preserve">Put intrinsic</t>
  </si>
  <si>
    <t xml:space="preserve">Put time value</t>
  </si>
  <si>
    <t xml:space="preserve">Put price via put-call parity p = c − S + K·e^(−rT). Time value peaks at-the-money; a deep-ITM European put can show slightly negative time value.</t>
  </si>
  <si>
    <t xml:space="preserve">BSM: direction of each input's effect</t>
  </si>
  <si>
    <t xml:space="preserve">Input ↑</t>
  </si>
  <si>
    <t xml:space="preserve">Call</t>
  </si>
  <si>
    <t xml:space="preserve">Put</t>
  </si>
  <si>
    <t xml:space="preserve">Greek</t>
  </si>
  <si>
    <t xml:space="preserve">S</t>
  </si>
  <si>
    <t xml:space="preserve">↑</t>
  </si>
  <si>
    <t xml:space="preserve">↓</t>
  </si>
  <si>
    <t xml:space="preserve">Delta</t>
  </si>
  <si>
    <t xml:space="preserve">K</t>
  </si>
  <si>
    <t xml:space="preserve">—</t>
  </si>
  <si>
    <t xml:space="preserve">T</t>
  </si>
  <si>
    <t xml:space="preserve">↑ usually</t>
  </si>
  <si>
    <t xml:space="preserve">Theta</t>
  </si>
  <si>
    <t xml:space="preserve">σ</t>
  </si>
  <si>
    <t xml:space="preserve">Vega</t>
  </si>
  <si>
    <t xml:space="preserve">r</t>
  </si>
  <si>
    <t xml:space="preserve">Rho</t>
  </si>
  <si>
    <t xml:space="preserve">Inputs &amp; Black-Scholes-Merton Greeks</t>
  </si>
  <si>
    <t xml:space="preserve">The engine: every other sheet links here</t>
  </si>
  <si>
    <t xml:space="preserve">Market inputs</t>
  </si>
  <si>
    <t xml:space="preserve">Underlying price S0 (₹)</t>
  </si>
  <si>
    <t xml:space="preserve">Named cell:  S0</t>
  </si>
  <si>
    <t xml:space="preserve">Risk-free rate r (cont. comp.)</t>
  </si>
  <si>
    <t xml:space="preserve">Named cell:  r</t>
  </si>
  <si>
    <t xml:space="preserve">Volatility σ</t>
  </si>
  <si>
    <t xml:space="preserve">Named cell:  sigma</t>
  </si>
  <si>
    <t xml:space="preserve">Options written (short) N</t>
  </si>
  <si>
    <t xml:space="preserve">Named cell:  N_short</t>
  </si>
  <si>
    <t xml:space="preserve">Options used in the examples (all calls)</t>
  </si>
  <si>
    <t xml:space="preserve">Item</t>
  </si>
  <si>
    <t xml:space="preserve">Option A</t>
  </si>
  <si>
    <t xml:space="preserve">Option B</t>
  </si>
  <si>
    <t xml:space="preserve">Option C</t>
  </si>
  <si>
    <t xml:space="preserve">Excel formula (Option A column)</t>
  </si>
  <si>
    <t xml:space="preserve">Role</t>
  </si>
  <si>
    <t xml:space="preserve">Position held (short)</t>
  </si>
  <si>
    <t xml:space="preserve">Hedge option 1</t>
  </si>
  <si>
    <t xml:space="preserve">Hedge option 2</t>
  </si>
  <si>
    <t xml:space="preserve">Maturity T (years)</t>
  </si>
  <si>
    <t xml:space="preserve">d1</t>
  </si>
  <si>
    <t xml:space="preserve">=(LN(S0/K)+(r+σ²/2)T)/(σ√T)</t>
  </si>
  <si>
    <t xml:space="preserve">d2</t>
  </si>
  <si>
    <t xml:space="preserve">=d1-σ√T</t>
  </si>
  <si>
    <t xml:space="preserve">N(d1)</t>
  </si>
  <si>
    <t xml:space="preserve">=NORM.S.DIST(d1,TRUE)</t>
  </si>
  <si>
    <t xml:space="preserve">N(d2)</t>
  </si>
  <si>
    <t xml:space="preserve">=NORM.S.DIST(d2,TRUE)</t>
  </si>
  <si>
    <t xml:space="preserve">N′(d1)  (normal density)</t>
  </si>
  <si>
    <t xml:space="preserve">=NORM.S.DIST(d1,FALSE)</t>
  </si>
  <si>
    <t xml:space="preserve">Call price (₹)</t>
  </si>
  <si>
    <t xml:space="preserve">=S·N(d1) − K·e^(−rT)·N(d2)</t>
  </si>
  <si>
    <t xml:space="preserve">Put price (₹)</t>
  </si>
  <si>
    <t xml:space="preserve">=K·e^(−rT)·N(−d2) − S·N(−d1)</t>
  </si>
  <si>
    <t xml:space="preserve">Call delta  N(d1)</t>
  </si>
  <si>
    <t xml:space="preserve">Range 0 to +1</t>
  </si>
  <si>
    <t xml:space="preserve">Put delta  N(d1) − 1</t>
  </si>
  <si>
    <t xml:space="preserve">Range −1 to 0</t>
  </si>
  <si>
    <t xml:space="preserve">Gamma (call = put)</t>
  </si>
  <si>
    <t xml:space="preserve">=N′(d1)/(S·σ·√T)</t>
  </si>
  <si>
    <t xml:space="preserve">Vega per 1.00 of σ</t>
  </si>
  <si>
    <t xml:space="preserve">=S·√T·N′(d1)</t>
  </si>
  <si>
    <t xml:space="preserve">Vega per 1% vol point (₹)</t>
  </si>
  <si>
    <t xml:space="preserve">Vega/100</t>
  </si>
  <si>
    <t xml:space="preserve">Call theta per year</t>
  </si>
  <si>
    <t xml:space="preserve">=−S·N′(d1)·σ/(2√T) − r·K·e^(−rT)·N(d2)</t>
  </si>
  <si>
    <t xml:space="preserve">Call theta per day</t>
  </si>
  <si>
    <t xml:space="preserve">Theta/365</t>
  </si>
  <si>
    <t xml:space="preserve">Call rho per 1.00 of r</t>
  </si>
  <si>
    <t xml:space="preserve">=K·T·e^(−rT)·N(d2)</t>
  </si>
  <si>
    <t xml:space="preserve">Call rho per 1% (₹)</t>
  </si>
  <si>
    <t xml:space="preserve">Rho/100</t>
  </si>
  <si>
    <t xml:space="preserve">Check: put-call parity C − P = S − K·e^(−rT)  →</t>
  </si>
  <si>
    <t xml:space="preserve">1. Option Delta (Δ)</t>
  </si>
  <si>
    <t xml:space="preserve">Δ = ∂V/∂S — change in option price for a ₹1 change in the underlying</t>
  </si>
  <si>
    <t xml:space="preserve">Step-by-step: Delta of Option A</t>
  </si>
  <si>
    <t xml:space="preserve">ln(S/K)</t>
  </si>
  <si>
    <t xml:space="preserve">(r + σ²/2)·T</t>
  </si>
  <si>
    <t xml:space="preserve">σ·√T</t>
  </si>
  <si>
    <t xml:space="preserve">Call delta = N(d1)</t>
  </si>
  <si>
    <t xml:space="preserve">← one call behaves like this many shares (hedge ratio)</t>
  </si>
  <si>
    <t xml:space="preserve">Put delta = N(d1) − 1</t>
  </si>
  <si>
    <t xml:space="preserve">Check: Δcall − Δput</t>
  </si>
  <si>
    <t xml:space="preserve">← always 1 (put-call parity)</t>
  </si>
  <si>
    <t xml:space="preserve">Position delta = Σ quantity × delta   (quantity &gt; 0 long, &lt; 0 short)</t>
  </si>
  <si>
    <t xml:space="preserve">Position</t>
  </si>
  <si>
    <t xml:space="preserve">Quantity</t>
  </si>
  <si>
    <t xml:space="preserve">Δ per unit</t>
  </si>
  <si>
    <t xml:space="preserve">Position Δ</t>
  </si>
  <si>
    <t xml:space="preserve">Interpretation</t>
  </si>
  <si>
    <t xml:space="preserve">Long call A</t>
  </si>
  <si>
    <t xml:space="preserve">Short call A</t>
  </si>
  <si>
    <t xml:space="preserve">Long put A</t>
  </si>
  <si>
    <t xml:space="preserve">Short put A</t>
  </si>
  <si>
    <t xml:space="preserve">Long shares</t>
  </si>
  <si>
    <t xml:space="preserve">Short shares</t>
  </si>
  <si>
    <t xml:space="preserve">Example: long straddle (long 1,000 calls + long 1,000 puts)</t>
  </si>
  <si>
    <t xml:space="preserve">Position delta</t>
  </si>
  <si>
    <t xml:space="preserve">The straddle behaves like ~195 long shares: a ₹1 rise gains ≈ ₹195, a ₹1 fall loses ≈ ₹195.</t>
  </si>
  <si>
    <t xml:space="preserve">Delta curve — Option A (K, T from Inputs_BS)</t>
  </si>
  <si>
    <t xml:space="preserve">Underlying S</t>
  </si>
  <si>
    <t xml:space="preserve">Call Δ = N(d1)</t>
  </si>
  <si>
    <t xml:space="preserve">Put Δ = N(d1) − 1</t>
  </si>
  <si>
    <t xml:space="preserve">2. Delta-Neutral Portfolio</t>
  </si>
  <si>
    <t xml:space="preserve">Short 1,000 calls of A, hedged with shares — and three price-move illustrations</t>
  </si>
  <si>
    <t xml:space="preserve">Step-by-step construction</t>
  </si>
  <si>
    <t xml:space="preserve">Options written (short)</t>
  </si>
  <si>
    <t xml:space="preserve">Call price today (₹)</t>
  </si>
  <si>
    <t xml:space="preserve">Call delta N(d1)</t>
  </si>
  <si>
    <t xml:space="preserve">Position delta of options</t>
  </si>
  <si>
    <t xml:space="preserve">Shares to BUY = −position delta</t>
  </si>
  <si>
    <t xml:space="preserve">Portfolio delta after hedge</t>
  </si>
  <si>
    <t xml:space="preserve">Three illustrations — instantaneous move in S (time &amp; σ unchanged)</t>
  </si>
  <si>
    <t xml:space="preserve">Illustration 1</t>
  </si>
  <si>
    <t xml:space="preserve">Illustration 2</t>
  </si>
  <si>
    <t xml:space="preserve">Illustration 3</t>
  </si>
  <si>
    <t xml:space="preserve">New underlying price S1 (₹)</t>
  </si>
  <si>
    <t xml:space="preserve">New call price (BSM)</t>
  </si>
  <si>
    <t xml:space="preserve">P&amp;L on short calls = −N×(C1 − C0)</t>
  </si>
  <si>
    <t xml:space="preserve">P&amp;L on shares = h×(S1 − S0)</t>
  </si>
  <si>
    <t xml:space="preserve">NET P&amp;L of hedged book</t>
  </si>
  <si>
    <t xml:space="preserve">New call delta N(d1)</t>
  </si>
  <si>
    <t xml:space="preserve">New position delta = −N×Δ1 + h</t>
  </si>
  <si>
    <t xml:space="preserve">Shares to trade to rebalance</t>
  </si>
  <si>
    <t xml:space="preserve">Action</t>
  </si>
  <si>
    <t xml:space="preserve">Small moves (1 &amp; 2): share gain ≈ option loss → hedge works, tiny residual. Large move (3): delta jumped from ~0.60 to ~0.82, the fixed share hedge under-hedges and the book loses. The short-call book loses whichever way S moves = negative GAMMA. Delta neutrality is local and instantaneous → it must be rebalanced (dynamic hedging).</t>
  </si>
  <si>
    <t xml:space="preserve">P&amp;L of the delta-hedged book across instant moves</t>
  </si>
  <si>
    <t xml:space="preserve">S1</t>
  </si>
  <si>
    <t xml:space="preserve">Unhedged short calls</t>
  </si>
  <si>
    <t xml:space="preserve">Delta-hedged book</t>
  </si>
  <si>
    <t xml:space="preserve">3. Option Gamma (Γ)</t>
  </si>
  <si>
    <t xml:space="preserve">Γ = ∂Δ/∂S = ∂²V/∂S² — second-order derivative, curvature of the option price</t>
  </si>
  <si>
    <t xml:space="preserve">Step-by-step: Gamma of Option A (same for call and put)</t>
  </si>
  <si>
    <t xml:space="preserve">N′(d1) = NORM.S.DIST(d1,FALSE)</t>
  </si>
  <si>
    <t xml:space="preserve">S·σ·√T</t>
  </si>
  <si>
    <t xml:space="preserve">Gamma = N′(d1)/(S·σ·√T)</t>
  </si>
  <si>
    <t xml:space="preserve">Check: Δ(S+0.5) − Δ(S−0.5)  (finite difference)</t>
  </si>
  <si>
    <t xml:space="preserve">Delta if S rises ₹1 ≈ Δ + Γ</t>
  </si>
  <si>
    <t xml:space="preserve">Exact delta at S+1</t>
  </si>
  <si>
    <t xml:space="preserve">Sign of gamma — impact on the position</t>
  </si>
  <si>
    <t xml:space="preserve">Γ per unit</t>
  </si>
  <si>
    <t xml:space="preserve">Position Γ</t>
  </si>
  <si>
    <t xml:space="preserve">Big move (either way)</t>
  </si>
  <si>
    <t xml:space="preserve">Shares / futures</t>
  </si>
  <si>
    <t xml:space="preserve">Taylor approximation  ΔV ≈ Δ·dS + ½·Γ·dS²</t>
  </si>
  <si>
    <t xml:space="preserve">Price move dS (₹)</t>
  </si>
  <si>
    <t xml:space="preserve">Delta term = Δ·dS</t>
  </si>
  <si>
    <t xml:space="preserve">Gamma term = ½·Γ·dS²</t>
  </si>
  <si>
    <t xml:space="preserve">Delta + Gamma estimate</t>
  </si>
  <si>
    <t xml:space="preserve">Exact BSM change</t>
  </si>
  <si>
    <t xml:space="preserve">Error of delta-only estimate</t>
  </si>
  <si>
    <t xml:space="preserve">Error of delta+gamma estimate</t>
  </si>
  <si>
    <t xml:space="preserve">Gamma curves — peak near ATM, higher for short maturities</t>
  </si>
  <si>
    <t xml:space="preserve">T = 0.10</t>
  </si>
  <si>
    <t xml:space="preserve">T = 0.25</t>
  </si>
  <si>
    <t xml:space="preserve">T = 0.50</t>
  </si>
  <si>
    <t xml:space="preserve">T = 1.00</t>
  </si>
  <si>
    <t xml:space="preserve">T (years) →</t>
  </si>
  <si>
    <t xml:space="preserve">4. Gamma + Delta Neutral Portfolio</t>
  </si>
  <si>
    <t xml:space="preserve">Rule: neutralise GAMMA first with an option, then DELTA with shares (shares have zero gamma)</t>
  </si>
  <si>
    <t xml:space="preserve">Step 1 — The existing book: short N calls of A</t>
  </si>
  <si>
    <t xml:space="preserve">Options written N</t>
  </si>
  <si>
    <t xml:space="preserve">Delta of A</t>
  </si>
  <si>
    <t xml:space="preserve">Gamma of A</t>
  </si>
  <si>
    <t xml:space="preserve">Portfolio delta  = −N × Δ_A</t>
  </si>
  <si>
    <t xml:space="preserve">Portfolio gamma = −N × Γ_A</t>
  </si>
  <si>
    <t xml:space="preserve">Step 2 — Neutralise GAMMA with Option B</t>
  </si>
  <si>
    <t xml:space="preserve">Delta of B</t>
  </si>
  <si>
    <t xml:space="preserve">Gamma of B</t>
  </si>
  <si>
    <t xml:space="preserve">n_B = −Portfolio Γ / Γ_B   (+ = buy)</t>
  </si>
  <si>
    <t xml:space="preserve">Gamma after n_B</t>
  </si>
  <si>
    <t xml:space="preserve">Step 3 — Neutralise DELTA with shares</t>
  </si>
  <si>
    <t xml:space="preserve">Delta after n_B = Portfolio Δ + n_B × Δ_B</t>
  </si>
  <si>
    <t xml:space="preserve">Shares to BUY = −delta after n_B</t>
  </si>
  <si>
    <t xml:space="preserve">Final delta</t>
  </si>
  <si>
    <t xml:space="preserve">Final gamma (shares add 0)</t>
  </si>
  <si>
    <t xml:space="preserve">P&amp;L comparison for instantaneous moves in S</t>
  </si>
  <si>
    <t xml:space="preserve">Delta-neutral only</t>
  </si>
  <si>
    <t xml:space="preserve">Gamma + Delta neutral</t>
  </si>
  <si>
    <t xml:space="preserve">5. Option Vega (ν)</t>
  </si>
  <si>
    <t xml:space="preserve">Vega = ∂V/∂σ = S·√T·N′(d1) — same for call and put, positive for long options</t>
  </si>
  <si>
    <t xml:space="preserve">Method 1 — formula (Option A)</t>
  </si>
  <si>
    <t xml:space="preserve">S·√T</t>
  </si>
  <si>
    <t xml:space="preserve">N′(d1)</t>
  </si>
  <si>
    <t xml:space="preserve">Vega per 1.00 of σ = S·√T·N′(d1)</t>
  </si>
  <si>
    <t xml:space="preserve">Vega per 1 vol point (÷100)</t>
  </si>
  <si>
    <t xml:space="preserve">Position vega of short N calls (per vol pt, ₹)</t>
  </si>
  <si>
    <t xml:space="preserve">Method 2 — re-price (bump σ)</t>
  </si>
  <si>
    <t xml:space="preserve">Volatility today</t>
  </si>
  <si>
    <t xml:space="preserve">Bumped volatility</t>
  </si>
  <si>
    <t xml:space="preserve">Call price at today's σ</t>
  </si>
  <si>
    <t xml:space="preserve">Call price at bumped σ</t>
  </si>
  <si>
    <t xml:space="preserve">Change in price</t>
  </si>
  <si>
    <t xml:space="preserve">Formula estimate = Vega/100 × vol points</t>
  </si>
  <si>
    <t xml:space="preserve">Vega neutral with ONE option (C) — not gamma neutral!</t>
  </si>
  <si>
    <t xml:space="preserve">n_C = N × Vega_A / Vega_C</t>
  </si>
  <si>
    <t xml:space="preserve">Vega after (per 1.00)</t>
  </si>
  <si>
    <t xml:space="preserve">Gamma after = −N×Γ_A + n_C×Γ_C</t>
  </si>
  <si>
    <t xml:space="preserve">One option can neutralise one Greek. To neutralise BOTH gamma and vega we need TWO options → solve a 2×2 system (sheet 6).</t>
  </si>
  <si>
    <t xml:space="preserve">Vega curves (per 1 vol point) — larger for longer maturities</t>
  </si>
  <si>
    <t xml:space="preserve">T = 2.00</t>
  </si>
  <si>
    <t xml:space="preserve">6. Gamma + Vega + Delta Neutral</t>
  </si>
  <si>
    <t xml:space="preserve">Two options solve for Γ and ν (MINVERSE · MMULT), then shares fix Δ</t>
  </si>
  <si>
    <t xml:space="preserve">Step 1 — Greeks per option (from Inputs_BS)</t>
  </si>
  <si>
    <t xml:space="preserve">Gamma</t>
  </si>
  <si>
    <t xml:space="preserve">Vega (per 1.00)</t>
  </si>
  <si>
    <t xml:space="preserve">Step 2 — Set up the equations   M · [n_B ; n_C] = b</t>
  </si>
  <si>
    <t xml:space="preserve">Gamma:  Γ_B·n_B + Γ_C·n_C = N·Γ_A        Vega:  ν_B·n_B + ν_C·n_C = N·ν_A      (we are short N of A, so the hedge must ADD this much)</t>
  </si>
  <si>
    <t xml:space="preserve">Equation</t>
  </si>
  <si>
    <t xml:space="preserve">M: col n_B</t>
  </si>
  <si>
    <t xml:space="preserve">M: col n_C</t>
  </si>
  <si>
    <t xml:space="preserve">b (RHS)</t>
  </si>
  <si>
    <t xml:space="preserve">Gamma equation</t>
  </si>
  <si>
    <t xml:space="preserve">Vega equation</t>
  </si>
  <si>
    <t xml:space="preserve">Step 3 — Solve with Excel matrix functions</t>
  </si>
  <si>
    <t xml:space="preserve">Determinant  =MDETERM(C14:D15)</t>
  </si>
  <si>
    <t xml:space="preserve">Inverse  =MINVERSE(C14:D15)  (2×2 array)</t>
  </si>
  <si>
    <t xml:space="preserve">n_B (buy option B)  =MMULT(MINVERSE(M),b)</t>
  </si>
  <si>
    <t xml:space="preserve">Cramer check →</t>
  </si>
  <si>
    <t xml:space="preserve">n_C (buy option C)</t>
  </si>
  <si>
    <t xml:space="preserve">Step 4 — Delta with shares</t>
  </si>
  <si>
    <t xml:space="preserve">Delta after options = −N·Δ_A + n_B·Δ_B + n_C·Δ_C</t>
  </si>
  <si>
    <t xml:space="preserve">Shares to BUY = −delta after options</t>
  </si>
  <si>
    <t xml:space="preserve">Step 5 — Check: every Greek sums to zero</t>
  </si>
  <si>
    <t xml:space="preserve">Leg</t>
  </si>
  <si>
    <t xml:space="preserve">Short calls A</t>
  </si>
  <si>
    <t xml:space="preserve">Long calls B</t>
  </si>
  <si>
    <t xml:space="preserve">Long calls C</t>
  </si>
  <si>
    <t xml:space="preserve">TOTAL</t>
  </si>
  <si>
    <t xml:space="preserve">Stress test — joint shock to price and volatility (instantaneous)</t>
  </si>
  <si>
    <t xml:space="preserve">New S1</t>
  </si>
  <si>
    <t xml:space="preserve">New σ1</t>
  </si>
  <si>
    <t xml:space="preserve">Unhedged</t>
  </si>
  <si>
    <t xml:space="preserve">Δ-neutral</t>
  </si>
  <si>
    <t xml:space="preserve">Γ+Δ-neutral</t>
  </si>
  <si>
    <t xml:space="preserve">Γ+ν+Δ-neutral</t>
  </si>
  <si>
    <t xml:space="preserve">7. Why not Theta-neutral or Rho-neutral?</t>
  </si>
  <si>
    <t xml:space="preserve">Theta is deterministic and tied to Gamma; Rho is small and hedged in the rate book</t>
  </si>
  <si>
    <t xml:space="preserve">Theta of Option A</t>
  </si>
  <si>
    <t xml:space="preserve">Theta per year</t>
  </si>
  <si>
    <t xml:space="preserve">Theta per day (÷365)</t>
  </si>
  <si>
    <t xml:space="preserve">Daily time-decay EARNED by short N calls (₹)</t>
  </si>
  <si>
    <t xml:space="preserve">Black-Scholes PDE check:  Θ + r·S·Δ + ½·σ²·S²·Γ = r·V</t>
  </si>
  <si>
    <t xml:space="preserve">Θ</t>
  </si>
  <si>
    <t xml:space="preserve">r·S·Δ</t>
  </si>
  <si>
    <t xml:space="preserve">½·σ²·S²·Γ</t>
  </si>
  <si>
    <t xml:space="preserve">Left-hand side</t>
  </si>
  <si>
    <t xml:space="preserve">Right-hand side r·V</t>
  </si>
  <si>
    <t xml:space="preserve">Difference (≈ 0)</t>
  </si>
  <si>
    <t xml:space="preserve">For a delta-neutral book Θ = r·Π − ½σ²S²Γ: once Gamma is managed, Theta is determined — it is not a separate risk. Time passes with certainty, so there is nothing random to hedge; Theta is the 'rent' paid for (or earned by selling) Gamma. Adding another option to kill Theta would re-open Gamma and Vega.</t>
  </si>
  <si>
    <t xml:space="preserve">Rho of Option A — compare with Vega</t>
  </si>
  <si>
    <t xml:space="preserve">Rho per 1% rate change (₹ per option)</t>
  </si>
  <si>
    <t xml:space="preserve">Vega per 1 vol point (₹ per option)</t>
  </si>
  <si>
    <t xml:space="preserve">Typical rate move (e.g. one policy change)</t>
  </si>
  <si>
    <t xml:space="preserve">Typical vol move (vol points)</t>
  </si>
  <si>
    <t xml:space="preserve">Impact on short N calls of the rate move (₹)</t>
  </si>
  <si>
    <t xml:space="preserve">Impact on short N calls of the vol move (₹)</t>
  </si>
  <si>
    <t xml:space="preserve">Rates move far less than volatility and Rho is small for short-dated equity options. Interest-rate risk is hedged in the rate book (bonds, IR futures, FRAs, swaps — DV01/PV01), not with more options. Desks HEDGE Δ, Γ, ν and MONITOR Θ, ρ.</t>
  </si>
  <si>
    <t xml:space="preserve">8. Caselets — solved with live formulas</t>
  </si>
  <si>
    <t xml:space="preserve">Change any blue input and the solution updates</t>
  </si>
  <si>
    <t xml:space="preserve">Caselet 1 — Put writer: delta hedge and rebalance (uses S0, K_A, T_A, σ, r)</t>
  </si>
  <si>
    <t xml:space="preserve">Puts written</t>
  </si>
  <si>
    <t xml:space="preserve">Put price today</t>
  </si>
  <si>
    <t xml:space="preserve">(a) Position delta = −N × put Δ</t>
  </si>
  <si>
    <t xml:space="preserve">(b) Shares to trade (− = short-sell)</t>
  </si>
  <si>
    <t xml:space="preserve">Next-day price S1</t>
  </si>
  <si>
    <t xml:space="preserve">Put price at S1</t>
  </si>
  <si>
    <t xml:space="preserve">P&amp;L on puts = −N × (p1 − p0)</t>
  </si>
  <si>
    <t xml:space="preserve">P&amp;L on shares</t>
  </si>
  <si>
    <t xml:space="preserve">(c) Net P&amp;L</t>
  </si>
  <si>
    <t xml:space="preserve">New put delta</t>
  </si>
  <si>
    <t xml:space="preserve">New position delta</t>
  </si>
  <si>
    <t xml:space="preserve">(d) Additional shares to trade</t>
  </si>
  <si>
    <t xml:space="preserve">Caselet 2 — Gamma + Delta neutral</t>
  </si>
  <si>
    <t xml:space="preserve">Portfolio delta</t>
  </si>
  <si>
    <t xml:space="preserve">Portfolio gamma</t>
  </si>
  <si>
    <t xml:space="preserve">Option X delta</t>
  </si>
  <si>
    <t xml:space="preserve">Option X gamma</t>
  </si>
  <si>
    <t xml:space="preserve">Options X to buy = −ΓP / ΓX</t>
  </si>
  <si>
    <t xml:space="preserve">Delta after options</t>
  </si>
  <si>
    <t xml:space="preserve">Shares to trade (− = sell)</t>
  </si>
  <si>
    <t xml:space="preserve">Check gamma</t>
  </si>
  <si>
    <t xml:space="preserve">Check delta</t>
  </si>
  <si>
    <t xml:space="preserve">Caselet 3 — Gamma + Vega + Delta neutral (MINVERSE / MMULT)</t>
  </si>
  <si>
    <t xml:space="preserve">Portfolio</t>
  </si>
  <si>
    <t xml:space="preserve">Option X</t>
  </si>
  <si>
    <t xml:space="preserve">Option Y</t>
  </si>
  <si>
    <t xml:space="preserve">Vega (per 1%)</t>
  </si>
  <si>
    <t xml:space="preserve">b = −portfolio</t>
  </si>
  <si>
    <t xml:space="preserve">Matrix M (rows: gamma, vega; cols: X, Y)</t>
  </si>
  <si>
    <t xml:space="preserve">Determinant =MDETERM(M)</t>
  </si>
  <si>
    <t xml:space="preserve">Units of X  =MMULT(MINVERSE(M),b)</t>
  </si>
  <si>
    <t xml:space="preserve">Units of Y</t>
  </si>
  <si>
    <t xml:space="preserve">Check gamma / vega / delta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</si>
</sst>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0.00"/>
    <numFmt numFmtId="166" formatCode="0.0000"/>
    <numFmt numFmtId="167" formatCode="0"/>
    <numFmt numFmtId="168" formatCode="#,##0.00;[RED]\-#,##0.00;0.00"/>
    <numFmt numFmtId="169" formatCode="0.00%"/>
    <numFmt numFmtId="170" formatCode="#,##0"/>
    <numFmt numFmtId="171" formatCode="0.00000"/>
    <numFmt numFmtId="172" formatCode="\₹#,##0.00;[RED]&quot;-₹&quot;#,##0.00;\-"/>
    <numFmt numFmtId="173" formatCode="0.0"/>
    <numFmt numFmtId="174" formatCode="\₹#,##0;[RED]&quot;-₹&quot;#,##0;\-"/>
    <numFmt numFmtId="175" formatCode="0.000000"/>
    <numFmt numFmtId="176" formatCode="#,##0.00"/>
    <numFmt numFmtId="177" formatCode="#,##0.00##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B2A41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F4B6E"/>
      <name val="Arial"/>
      <family val="0"/>
      <charset val="1"/>
    </font>
    <font>
      <b val="true"/>
      <sz val="11"/>
      <color rgb="FF3E5F82"/>
      <name val="Arial"/>
      <family val="0"/>
      <charset val="1"/>
    </font>
    <font>
      <b val="true"/>
      <sz val="11"/>
      <color rgb="FF3F6E5A"/>
      <name val="Arial"/>
      <family val="0"/>
      <charset val="1"/>
    </font>
    <font>
      <b val="true"/>
      <sz val="11"/>
      <color rgb="FF4A5568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.5"/>
      <color rgb="FF1D243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9"/>
      <color rgb="FF5B6578"/>
      <name val="Arial"/>
      <family val="0"/>
      <charset val="1"/>
    </font>
    <font>
      <sz val="9"/>
      <color rgb="FF2F4B6E"/>
      <name val="Consolas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2F4B6E"/>
      <name val="Arial"/>
      <family val="0"/>
      <charset val="1"/>
    </font>
    <font>
      <sz val="9.5"/>
      <color rgb="FF1D243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3F6E5A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B2A41"/>
        <bgColor rgb="FF1D2433"/>
      </patternFill>
    </fill>
    <fill>
      <patternFill patternType="solid">
        <fgColor rgb="FFB08D3C"/>
        <bgColor rgb="FF878787"/>
      </patternFill>
    </fill>
    <fill>
      <patternFill patternType="solid">
        <fgColor rgb="FF3E5F82"/>
        <bgColor rgb="FF4A5568"/>
      </patternFill>
    </fill>
    <fill>
      <patternFill patternType="solid">
        <fgColor rgb="FF2F4B6E"/>
        <bgColor rgb="FF4A5568"/>
      </patternFill>
    </fill>
    <fill>
      <patternFill patternType="solid">
        <fgColor rgb="FF3F6E5A"/>
        <bgColor rgb="FF3E5F82"/>
      </patternFill>
    </fill>
    <fill>
      <patternFill patternType="solid">
        <fgColor rgb="FF4A5568"/>
        <bgColor rgb="FF3E5F82"/>
      </patternFill>
    </fill>
    <fill>
      <patternFill patternType="solid">
        <fgColor rgb="FFFFF9DB"/>
        <bgColor rgb="FFF7F3E8"/>
      </patternFill>
    </fill>
    <fill>
      <patternFill patternType="solid">
        <fgColor rgb="FFF2F5F9"/>
        <bgColor rgb="FFF3F4F6"/>
      </patternFill>
    </fill>
    <fill>
      <patternFill patternType="solid">
        <fgColor rgb="FFF8F1F1"/>
        <bgColor rgb="FFF7F3E8"/>
      </patternFill>
    </fill>
    <fill>
      <patternFill patternType="solid">
        <fgColor rgb="FFF1F6F3"/>
        <bgColor rgb="FFF3F4F6"/>
      </patternFill>
    </fill>
    <fill>
      <patternFill patternType="solid">
        <fgColor rgb="FFF7F3E8"/>
        <bgColor rgb="FFF8F1F1"/>
      </patternFill>
    </fill>
    <fill>
      <patternFill patternType="solid">
        <fgColor rgb="FFF3F4F6"/>
        <bgColor rgb="FFF2F5F9"/>
      </patternFill>
    </fill>
    <fill>
      <patternFill patternType="solid">
        <fgColor rgb="FF9B3A3A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9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1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28" fillId="1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29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1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30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B3A3A"/>
      <rgbColor rgb="FFFFF9DB"/>
      <rgbColor rgb="FFF1F6F3"/>
      <rgbColor rgb="FF660066"/>
      <rgbColor rgb="FFFF8080"/>
      <rgbColor rgb="FF0066CC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5F9"/>
      <rgbColor rgb="FFF3F4F6"/>
      <rgbColor rgb="FFF7F3E8"/>
      <rgbColor rgb="FF99CCFF"/>
      <rgbColor rgb="FFFF99CC"/>
      <rgbColor rgb="FFCC99FF"/>
      <rgbColor rgb="FFF8F1F1"/>
      <rgbColor rgb="FF3E5F82"/>
      <rgbColor rgb="FF33CCCC"/>
      <rgbColor rgb="FF99CC00"/>
      <rgbColor rgb="FFFFCC00"/>
      <rgbColor rgb="FFFF9900"/>
      <rgbColor rgb="FFFF6600"/>
      <rgbColor rgb="FF5B6578"/>
      <rgbColor rgb="FFB08D3C"/>
      <rgbColor rgb="FF4A5568"/>
      <rgbColor rgb="FF3F6E5A"/>
      <rgbColor rgb="FF003300"/>
      <rgbColor rgb="FF1D2433"/>
      <rgbColor rgb="FF993300"/>
      <rgbColor rgb="FF993366"/>
      <rgbColor rgb="FF2F4B6E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Profit at expiry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0_Prerequisites!C12</c:f>
              <c:strCache>
                <c:ptCount val="1"/>
                <c:pt idx="0">
                  <c:v>Long call</c:v>
                </c:pt>
              </c:strCache>
            </c:strRef>
          </c:tx>
          <c:spPr>
            <a:solidFill>
              <a:srgbClr val="2f4b6e"/>
            </a:solidFill>
            <a:ln w="24120">
              <a:solidFill>
                <a:srgbClr val="2f4b6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0_Prerequisites!$B$13:$B$25</c:f>
              <c:strCache>
                <c:ptCount val="13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85</c:v>
                </c:pt>
                <c:pt idx="4">
                  <c:v>90</c:v>
                </c:pt>
                <c:pt idx="5">
                  <c:v>95</c:v>
                </c:pt>
                <c:pt idx="6">
                  <c:v>100</c:v>
                </c:pt>
                <c:pt idx="7">
                  <c:v>105</c:v>
                </c:pt>
                <c:pt idx="8">
                  <c:v>110</c:v>
                </c:pt>
                <c:pt idx="9">
                  <c:v>115</c:v>
                </c:pt>
                <c:pt idx="10">
                  <c:v>120</c:v>
                </c:pt>
                <c:pt idx="11">
                  <c:v>125</c:v>
                </c:pt>
                <c:pt idx="12">
                  <c:v>130</c:v>
                </c:pt>
              </c:strCache>
            </c:strRef>
          </c:cat>
          <c:val>
            <c:numRef>
              <c:f>0_Prerequisites!$C$13:$C$25</c:f>
              <c:numCache>
                <c:formatCode>#,##0.00;[RED]\-#,##0.00;0.00</c:formatCode>
                <c:ptCount val="13"/>
                <c:pt idx="0">
                  <c:v>-6.88872857768062</c:v>
                </c:pt>
                <c:pt idx="1">
                  <c:v>-6.88872857768062</c:v>
                </c:pt>
                <c:pt idx="2">
                  <c:v>-6.88872857768062</c:v>
                </c:pt>
                <c:pt idx="3">
                  <c:v>-6.88872857768062</c:v>
                </c:pt>
                <c:pt idx="4">
                  <c:v>-6.88872857768062</c:v>
                </c:pt>
                <c:pt idx="5">
                  <c:v>-6.88872857768062</c:v>
                </c:pt>
                <c:pt idx="6">
                  <c:v>-6.88872857768062</c:v>
                </c:pt>
                <c:pt idx="7">
                  <c:v>-1.88872857768062</c:v>
                </c:pt>
                <c:pt idx="8">
                  <c:v>3.11127142231938</c:v>
                </c:pt>
                <c:pt idx="9">
                  <c:v>8.11127142231938</c:v>
                </c:pt>
                <c:pt idx="10">
                  <c:v>13.1112714223194</c:v>
                </c:pt>
                <c:pt idx="11">
                  <c:v>18.1112714223194</c:v>
                </c:pt>
                <c:pt idx="12">
                  <c:v>23.1112714223194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0_Prerequisites!D12</c:f>
              <c:strCache>
                <c:ptCount val="1"/>
                <c:pt idx="0">
                  <c:v>Short call</c:v>
                </c:pt>
              </c:strCache>
            </c:strRef>
          </c:tx>
          <c:spPr>
            <a:solidFill>
              <a:srgbClr val="9b3a3a"/>
            </a:solidFill>
            <a:ln w="24120">
              <a:solidFill>
                <a:srgbClr val="9b3a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0_Prerequisites!$B$13:$B$25</c:f>
              <c:strCache>
                <c:ptCount val="13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85</c:v>
                </c:pt>
                <c:pt idx="4">
                  <c:v>90</c:v>
                </c:pt>
                <c:pt idx="5">
                  <c:v>95</c:v>
                </c:pt>
                <c:pt idx="6">
                  <c:v>100</c:v>
                </c:pt>
                <c:pt idx="7">
                  <c:v>105</c:v>
                </c:pt>
                <c:pt idx="8">
                  <c:v>110</c:v>
                </c:pt>
                <c:pt idx="9">
                  <c:v>115</c:v>
                </c:pt>
                <c:pt idx="10">
                  <c:v>120</c:v>
                </c:pt>
                <c:pt idx="11">
                  <c:v>125</c:v>
                </c:pt>
                <c:pt idx="12">
                  <c:v>130</c:v>
                </c:pt>
              </c:strCache>
            </c:strRef>
          </c:cat>
          <c:val>
            <c:numRef>
              <c:f>0_Prerequisites!$D$13:$D$25</c:f>
              <c:numCache>
                <c:formatCode>#,##0.00;[RED]\-#,##0.00;0.00</c:formatCode>
                <c:ptCount val="13"/>
                <c:pt idx="0">
                  <c:v>6.88872857768062</c:v>
                </c:pt>
                <c:pt idx="1">
                  <c:v>6.88872857768062</c:v>
                </c:pt>
                <c:pt idx="2">
                  <c:v>6.88872857768062</c:v>
                </c:pt>
                <c:pt idx="3">
                  <c:v>6.88872857768062</c:v>
                </c:pt>
                <c:pt idx="4">
                  <c:v>6.88872857768062</c:v>
                </c:pt>
                <c:pt idx="5">
                  <c:v>6.88872857768062</c:v>
                </c:pt>
                <c:pt idx="6">
                  <c:v>6.88872857768062</c:v>
                </c:pt>
                <c:pt idx="7">
                  <c:v>1.88872857768062</c:v>
                </c:pt>
                <c:pt idx="8">
                  <c:v>-3.11127142231938</c:v>
                </c:pt>
                <c:pt idx="9">
                  <c:v>-8.11127142231938</c:v>
                </c:pt>
                <c:pt idx="10">
                  <c:v>-13.1112714223194</c:v>
                </c:pt>
                <c:pt idx="11">
                  <c:v>-18.1112714223194</c:v>
                </c:pt>
                <c:pt idx="12">
                  <c:v>-23.1112714223194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0_Prerequisites!E12</c:f>
              <c:strCache>
                <c:ptCount val="1"/>
                <c:pt idx="0">
                  <c:v>Long put</c:v>
                </c:pt>
              </c:strCache>
            </c:strRef>
          </c:tx>
          <c:spPr>
            <a:solidFill>
              <a:srgbClr val="3f6e5a"/>
            </a:solidFill>
            <a:ln w="24120">
              <a:solidFill>
                <a:srgbClr val="3f6e5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0_Prerequisites!$B$13:$B$25</c:f>
              <c:strCache>
                <c:ptCount val="13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85</c:v>
                </c:pt>
                <c:pt idx="4">
                  <c:v>90</c:v>
                </c:pt>
                <c:pt idx="5">
                  <c:v>95</c:v>
                </c:pt>
                <c:pt idx="6">
                  <c:v>100</c:v>
                </c:pt>
                <c:pt idx="7">
                  <c:v>105</c:v>
                </c:pt>
                <c:pt idx="8">
                  <c:v>110</c:v>
                </c:pt>
                <c:pt idx="9">
                  <c:v>115</c:v>
                </c:pt>
                <c:pt idx="10">
                  <c:v>120</c:v>
                </c:pt>
                <c:pt idx="11">
                  <c:v>125</c:v>
                </c:pt>
                <c:pt idx="12">
                  <c:v>130</c:v>
                </c:pt>
              </c:strCache>
            </c:strRef>
          </c:cat>
          <c:val>
            <c:numRef>
              <c:f>0_Prerequisites!$E$13:$E$25</c:f>
              <c:numCache>
                <c:formatCode>#,##0.00;[RED]\-#,##0.00;0.00</c:formatCode>
                <c:ptCount val="13"/>
                <c:pt idx="0">
                  <c:v>25.5802802194861</c:v>
                </c:pt>
                <c:pt idx="1">
                  <c:v>20.5802802194861</c:v>
                </c:pt>
                <c:pt idx="2">
                  <c:v>15.5802802194861</c:v>
                </c:pt>
                <c:pt idx="3">
                  <c:v>10.5802802194861</c:v>
                </c:pt>
                <c:pt idx="4">
                  <c:v>5.58028021948612</c:v>
                </c:pt>
                <c:pt idx="5">
                  <c:v>0.58028021948612</c:v>
                </c:pt>
                <c:pt idx="6">
                  <c:v>-4.41971978051388</c:v>
                </c:pt>
                <c:pt idx="7">
                  <c:v>-4.41971978051388</c:v>
                </c:pt>
                <c:pt idx="8">
                  <c:v>-4.41971978051388</c:v>
                </c:pt>
                <c:pt idx="9">
                  <c:v>-4.41971978051388</c:v>
                </c:pt>
                <c:pt idx="10">
                  <c:v>-4.41971978051388</c:v>
                </c:pt>
                <c:pt idx="11">
                  <c:v>-4.41971978051388</c:v>
                </c:pt>
                <c:pt idx="12">
                  <c:v>-4.41971978051388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0_Prerequisites!F12</c:f>
              <c:strCache>
                <c:ptCount val="1"/>
                <c:pt idx="0">
                  <c:v>Short put</c:v>
                </c:pt>
              </c:strCache>
            </c:strRef>
          </c:tx>
          <c:spPr>
            <a:solidFill>
              <a:srgbClr val="b08d3c"/>
            </a:solidFill>
            <a:ln w="24120">
              <a:solidFill>
                <a:srgbClr val="b08d3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0_Prerequisites!$B$13:$B$25</c:f>
              <c:strCache>
                <c:ptCount val="13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85</c:v>
                </c:pt>
                <c:pt idx="4">
                  <c:v>90</c:v>
                </c:pt>
                <c:pt idx="5">
                  <c:v>95</c:v>
                </c:pt>
                <c:pt idx="6">
                  <c:v>100</c:v>
                </c:pt>
                <c:pt idx="7">
                  <c:v>105</c:v>
                </c:pt>
                <c:pt idx="8">
                  <c:v>110</c:v>
                </c:pt>
                <c:pt idx="9">
                  <c:v>115</c:v>
                </c:pt>
                <c:pt idx="10">
                  <c:v>120</c:v>
                </c:pt>
                <c:pt idx="11">
                  <c:v>125</c:v>
                </c:pt>
                <c:pt idx="12">
                  <c:v>130</c:v>
                </c:pt>
              </c:strCache>
            </c:strRef>
          </c:cat>
          <c:val>
            <c:numRef>
              <c:f>0_Prerequisites!$F$13:$F$25</c:f>
              <c:numCache>
                <c:formatCode>#,##0.00;[RED]\-#,##0.00;0.00</c:formatCode>
                <c:ptCount val="13"/>
                <c:pt idx="0">
                  <c:v>-25.5802802194861</c:v>
                </c:pt>
                <c:pt idx="1">
                  <c:v>-20.5802802194861</c:v>
                </c:pt>
                <c:pt idx="2">
                  <c:v>-15.5802802194861</c:v>
                </c:pt>
                <c:pt idx="3">
                  <c:v>-10.5802802194861</c:v>
                </c:pt>
                <c:pt idx="4">
                  <c:v>-5.58028021948612</c:v>
                </c:pt>
                <c:pt idx="5">
                  <c:v>-0.58028021948612</c:v>
                </c:pt>
                <c:pt idx="6">
                  <c:v>4.41971978051388</c:v>
                </c:pt>
                <c:pt idx="7">
                  <c:v>4.41971978051388</c:v>
                </c:pt>
                <c:pt idx="8">
                  <c:v>4.41971978051388</c:v>
                </c:pt>
                <c:pt idx="9">
                  <c:v>4.41971978051388</c:v>
                </c:pt>
                <c:pt idx="10">
                  <c:v>4.41971978051388</c:v>
                </c:pt>
                <c:pt idx="11">
                  <c:v>4.41971978051388</c:v>
                </c:pt>
                <c:pt idx="12">
                  <c:v>4.41971978051388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3093032"/>
        <c:axId val="32197909"/>
      </c:lineChart>
      <c:catAx>
        <c:axId val="83093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197909"/>
        <c:crosses val="autoZero"/>
        <c:auto val="1"/>
        <c:lblAlgn val="ctr"/>
        <c:lblOffset val="100"/>
        <c:noMultiLvlLbl val="0"/>
      </c:catAx>
      <c:valAx>
        <c:axId val="321979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Profit (₹)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;[RED]\-#,##0.00;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09303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Call and put delta vs underlying price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1_Delta!C28</c:f>
              <c:strCache>
                <c:ptCount val="1"/>
                <c:pt idx="0">
                  <c:v>Call Δ = N(d1)</c:v>
                </c:pt>
              </c:strCache>
            </c:strRef>
          </c:tx>
          <c:spPr>
            <a:solidFill>
              <a:srgbClr val="2f4b6e"/>
            </a:solidFill>
            <a:ln w="28080">
              <a:solidFill>
                <a:srgbClr val="2f4b6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1_Delta!$B$29:$B$45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1_Delta!$C$29:$C$45</c:f>
              <c:numCache>
                <c:formatCode>0.0000</c:formatCode>
                <c:ptCount val="17"/>
                <c:pt idx="0">
                  <c:v>0.000383280097107272</c:v>
                </c:pt>
                <c:pt idx="1">
                  <c:v>0.00256617141946087</c:v>
                </c:pt>
                <c:pt idx="2">
                  <c:v>0.0114654081225744</c:v>
                </c:pt>
                <c:pt idx="3">
                  <c:v>0.0369904016436692</c:v>
                </c:pt>
                <c:pt idx="4">
                  <c:v>0.091697240337173</c:v>
                </c:pt>
                <c:pt idx="5">
                  <c:v>0.18360945549141</c:v>
                </c:pt>
                <c:pt idx="6">
                  <c:v>0.309409799330358</c:v>
                </c:pt>
                <c:pt idx="7">
                  <c:v>0.454138944163076</c:v>
                </c:pt>
                <c:pt idx="8">
                  <c:v>0.597734468908438</c:v>
                </c:pt>
                <c:pt idx="9">
                  <c:v>0.723237381065062</c:v>
                </c:pt>
                <c:pt idx="10">
                  <c:v>0.821587566665536</c:v>
                </c:pt>
                <c:pt idx="11">
                  <c:v>0.891724906293907</c:v>
                </c:pt>
                <c:pt idx="12">
                  <c:v>0.937816048914623</c:v>
                </c:pt>
                <c:pt idx="13">
                  <c:v>0.966025927262147</c:v>
                </c:pt>
                <c:pt idx="14">
                  <c:v>0.982253250163945</c:v>
                </c:pt>
                <c:pt idx="15">
                  <c:v>0.991095061502178</c:v>
                </c:pt>
                <c:pt idx="16">
                  <c:v>0.995689202634732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1_Delta!D28</c:f>
              <c:strCache>
                <c:ptCount val="1"/>
                <c:pt idx="0">
                  <c:v>Put Δ = N(d1) − 1</c:v>
                </c:pt>
              </c:strCache>
            </c:strRef>
          </c:tx>
          <c:spPr>
            <a:solidFill>
              <a:srgbClr val="9b3a3a"/>
            </a:solidFill>
            <a:ln w="28080">
              <a:solidFill>
                <a:srgbClr val="9b3a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1_Delta!$B$29:$B$45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1_Delta!$D$29:$D$45</c:f>
              <c:numCache>
                <c:formatCode>0.0000</c:formatCode>
                <c:ptCount val="17"/>
                <c:pt idx="0">
                  <c:v>-0.999616719902893</c:v>
                </c:pt>
                <c:pt idx="1">
                  <c:v>-0.997433828580539</c:v>
                </c:pt>
                <c:pt idx="2">
                  <c:v>-0.988534591877426</c:v>
                </c:pt>
                <c:pt idx="3">
                  <c:v>-0.963009598356331</c:v>
                </c:pt>
                <c:pt idx="4">
                  <c:v>-0.908302759662827</c:v>
                </c:pt>
                <c:pt idx="5">
                  <c:v>-0.81639054450859</c:v>
                </c:pt>
                <c:pt idx="6">
                  <c:v>-0.690590200669642</c:v>
                </c:pt>
                <c:pt idx="7">
                  <c:v>-0.545861055836924</c:v>
                </c:pt>
                <c:pt idx="8">
                  <c:v>-0.402265531091562</c:v>
                </c:pt>
                <c:pt idx="9">
                  <c:v>-0.276762618934938</c:v>
                </c:pt>
                <c:pt idx="10">
                  <c:v>-0.178412433334464</c:v>
                </c:pt>
                <c:pt idx="11">
                  <c:v>-0.108275093706093</c:v>
                </c:pt>
                <c:pt idx="12">
                  <c:v>-0.062183951085377</c:v>
                </c:pt>
                <c:pt idx="13">
                  <c:v>-0.0339740727378527</c:v>
                </c:pt>
                <c:pt idx="14">
                  <c:v>-0.0177467498360552</c:v>
                </c:pt>
                <c:pt idx="15">
                  <c:v>-0.00890493849782192</c:v>
                </c:pt>
                <c:pt idx="16">
                  <c:v>-0.00431079736526785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6154534"/>
        <c:axId val="85265269"/>
      </c:lineChart>
      <c:catAx>
        <c:axId val="3615453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265269"/>
        <c:crosses val="autoZero"/>
        <c:auto val="1"/>
        <c:lblAlgn val="ctr"/>
        <c:lblOffset val="100"/>
        <c:noMultiLvlLbl val="0"/>
      </c:catAx>
      <c:valAx>
        <c:axId val="8526526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Delta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1545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Delta-hedged short calls: loses on big moves (short gamma)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2_DeltaNeutral!C28</c:f>
              <c:strCache>
                <c:ptCount val="1"/>
                <c:pt idx="0">
                  <c:v>Unhedged short calls</c:v>
                </c:pt>
              </c:strCache>
            </c:strRef>
          </c:tx>
          <c:spPr>
            <a:solidFill>
              <a:srgbClr val="3e5f82"/>
            </a:solidFill>
            <a:ln w="28080">
              <a:solidFill>
                <a:srgbClr val="3e5f8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2_DeltaNeutral!$B$29:$B$41</c:f>
              <c:strCache>
                <c:ptCount val="13"/>
                <c:pt idx="0">
                  <c:v>85.0</c:v>
                </c:pt>
                <c:pt idx="1">
                  <c:v>87.5</c:v>
                </c:pt>
                <c:pt idx="2">
                  <c:v>90.0</c:v>
                </c:pt>
                <c:pt idx="3">
                  <c:v>92.5</c:v>
                </c:pt>
                <c:pt idx="4">
                  <c:v>95.0</c:v>
                </c:pt>
                <c:pt idx="5">
                  <c:v>97.5</c:v>
                </c:pt>
                <c:pt idx="6">
                  <c:v>100.0</c:v>
                </c:pt>
                <c:pt idx="7">
                  <c:v>102.5</c:v>
                </c:pt>
                <c:pt idx="8">
                  <c:v>105.0</c:v>
                </c:pt>
                <c:pt idx="9">
                  <c:v>107.5</c:v>
                </c:pt>
                <c:pt idx="10">
                  <c:v>110.0</c:v>
                </c:pt>
                <c:pt idx="11">
                  <c:v>112.5</c:v>
                </c:pt>
                <c:pt idx="12">
                  <c:v>115.0</c:v>
                </c:pt>
              </c:strCache>
            </c:strRef>
          </c:cat>
          <c:val>
            <c:numRef>
              <c:f>2_DeltaNeutral!$C$29:$C$41</c:f>
              <c:numCache>
                <c:formatCode>\₹#,##0;[RED]"-₹"#,##0;\-</c:formatCode>
                <c:ptCount val="13"/>
                <c:pt idx="0">
                  <c:v>5760.12777374955</c:v>
                </c:pt>
                <c:pt idx="1">
                  <c:v>5228.54458089488</c:v>
                </c:pt>
                <c:pt idx="2">
                  <c:v>4539.30028226663</c:v>
                </c:pt>
                <c:pt idx="3">
                  <c:v>3677.47382236836</c:v>
                </c:pt>
                <c:pt idx="4">
                  <c:v>2634.18792956013</c:v>
                </c:pt>
                <c:pt idx="5">
                  <c:v>1407.06896876885</c:v>
                </c:pt>
                <c:pt idx="6">
                  <c:v>-0</c:v>
                </c:pt>
                <c:pt idx="7">
                  <c:v>-1577.70759832714</c:v>
                </c:pt>
                <c:pt idx="8">
                  <c:v>-3312.52909314671</c:v>
                </c:pt>
                <c:pt idx="9">
                  <c:v>-5188.11407670283</c:v>
                </c:pt>
                <c:pt idx="10">
                  <c:v>-7186.65545870107</c:v>
                </c:pt>
                <c:pt idx="11">
                  <c:v>-9290.09662814214</c:v>
                </c:pt>
                <c:pt idx="12">
                  <c:v>-11481.0912721723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2_DeltaNeutral!D28</c:f>
              <c:strCache>
                <c:ptCount val="1"/>
                <c:pt idx="0">
                  <c:v>Delta-hedged book</c:v>
                </c:pt>
              </c:strCache>
            </c:strRef>
          </c:tx>
          <c:spPr>
            <a:solidFill>
              <a:srgbClr val="9b3a3a"/>
            </a:solidFill>
            <a:ln w="28080">
              <a:solidFill>
                <a:srgbClr val="9b3a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2_DeltaNeutral!$B$29:$B$41</c:f>
              <c:strCache>
                <c:ptCount val="13"/>
                <c:pt idx="0">
                  <c:v>85.0</c:v>
                </c:pt>
                <c:pt idx="1">
                  <c:v>87.5</c:v>
                </c:pt>
                <c:pt idx="2">
                  <c:v>90.0</c:v>
                </c:pt>
                <c:pt idx="3">
                  <c:v>92.5</c:v>
                </c:pt>
                <c:pt idx="4">
                  <c:v>95.0</c:v>
                </c:pt>
                <c:pt idx="5">
                  <c:v>97.5</c:v>
                </c:pt>
                <c:pt idx="6">
                  <c:v>100.0</c:v>
                </c:pt>
                <c:pt idx="7">
                  <c:v>102.5</c:v>
                </c:pt>
                <c:pt idx="8">
                  <c:v>105.0</c:v>
                </c:pt>
                <c:pt idx="9">
                  <c:v>107.5</c:v>
                </c:pt>
                <c:pt idx="10">
                  <c:v>110.0</c:v>
                </c:pt>
                <c:pt idx="11">
                  <c:v>112.5</c:v>
                </c:pt>
                <c:pt idx="12">
                  <c:v>115.0</c:v>
                </c:pt>
              </c:strCache>
            </c:strRef>
          </c:cat>
          <c:val>
            <c:numRef>
              <c:f>2_DeltaNeutral!$D$29:$D$41</c:f>
              <c:numCache>
                <c:formatCode>\₹#,##0;[RED]"-₹"#,##0;\-</c:formatCode>
                <c:ptCount val="13"/>
                <c:pt idx="0">
                  <c:v>-3205.88925987703</c:v>
                </c:pt>
                <c:pt idx="1">
                  <c:v>-2243.1362804606</c:v>
                </c:pt>
                <c:pt idx="2">
                  <c:v>-1438.04440681775</c:v>
                </c:pt>
                <c:pt idx="3">
                  <c:v>-805.534694444925</c:v>
                </c:pt>
                <c:pt idx="4">
                  <c:v>-354.484414982064</c:v>
                </c:pt>
                <c:pt idx="5">
                  <c:v>-87.2672035022488</c:v>
                </c:pt>
                <c:pt idx="6">
                  <c:v>0</c:v>
                </c:pt>
                <c:pt idx="7">
                  <c:v>-83.3714260560487</c:v>
                </c:pt>
                <c:pt idx="8">
                  <c:v>-323.856748604516</c:v>
                </c:pt>
                <c:pt idx="9">
                  <c:v>-705.105559889544</c:v>
                </c:pt>
                <c:pt idx="10">
                  <c:v>-1209.31076961669</c:v>
                </c:pt>
                <c:pt idx="11">
                  <c:v>-1818.41576678666</c:v>
                </c:pt>
                <c:pt idx="12">
                  <c:v>-2515.07423854573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9638554"/>
        <c:axId val="85872548"/>
      </c:lineChart>
      <c:catAx>
        <c:axId val="19638554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872548"/>
        <c:crosses val="autoZero"/>
        <c:auto val="1"/>
        <c:lblAlgn val="ctr"/>
        <c:lblOffset val="100"/>
        <c:noMultiLvlLbl val="0"/>
      </c:catAx>
      <c:valAx>
        <c:axId val="858725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P&amp;L (₹)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₹#,##0;[RED]&quot;-₹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63855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Gamma vs S (K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"T = 0.10"</c:f>
              <c:strCache>
                <c:ptCount val="1"/>
                <c:pt idx="0">
                  <c:v>T = 0.10</c:v>
                </c:pt>
              </c:strCache>
            </c:strRef>
          </c:tx>
          <c:spPr>
            <a:solidFill>
              <a:srgbClr val="4a5568"/>
            </a:solidFill>
            <a:ln w="28080">
              <a:solidFill>
                <a:srgbClr val="4a556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3_Gamma!$B$34:$B$50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3_Gamma!$C$34:$C$50</c:f>
              <c:numCache>
                <c:formatCode>0.00000</c:formatCode>
                <c:ptCount val="17"/>
                <c:pt idx="0">
                  <c:v>1.7440175055394E-015</c:v>
                </c:pt>
                <c:pt idx="1">
                  <c:v>1.72779440080478E-011</c:v>
                </c:pt>
                <c:pt idx="2">
                  <c:v>2.07488685671152E-008</c:v>
                </c:pt>
                <c:pt idx="3">
                  <c:v>4.44602814386513E-006</c:v>
                </c:pt>
                <c:pt idx="4">
                  <c:v>0.000229412456180486</c:v>
                </c:pt>
                <c:pt idx="5">
                  <c:v>0.00360971480991846</c:v>
                </c:pt>
                <c:pt idx="6">
                  <c:v>0.0209133697272645</c:v>
                </c:pt>
                <c:pt idx="7">
                  <c:v>0.0519578764560101</c:v>
                </c:pt>
                <c:pt idx="8">
                  <c:v>0.0626931391822104</c:v>
                </c:pt>
                <c:pt idx="9">
                  <c:v>0.0407118437886818</c:v>
                </c:pt>
                <c:pt idx="10">
                  <c:v>0.0154969809489578</c:v>
                </c:pt>
                <c:pt idx="11">
                  <c:v>0.00371445368240324</c:v>
                </c:pt>
                <c:pt idx="12">
                  <c:v>0.000595546372647582</c:v>
                </c:pt>
                <c:pt idx="13">
                  <c:v>6.72375566375001E-005</c:v>
                </c:pt>
                <c:pt idx="14">
                  <c:v>5.58525261079421E-006</c:v>
                </c:pt>
                <c:pt idx="15">
                  <c:v>3.54471924800846E-007</c:v>
                </c:pt>
                <c:pt idx="16">
                  <c:v>1.7756793478227E-008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"T = 0.25"</c:f>
              <c:strCache>
                <c:ptCount val="1"/>
                <c:pt idx="0">
                  <c:v>T = 0.25</c:v>
                </c:pt>
              </c:strCache>
            </c:strRef>
          </c:tx>
          <c:spPr>
            <a:solidFill>
              <a:srgbClr val="3e5f82"/>
            </a:solidFill>
            <a:ln w="28080">
              <a:solidFill>
                <a:srgbClr val="3e5f8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3_Gamma!$B$34:$B$50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3_Gamma!$D$34:$D$50</c:f>
              <c:numCache>
                <c:formatCode>0.00000</c:formatCode>
                <c:ptCount val="17"/>
                <c:pt idx="0">
                  <c:v>3.45177673910661E-007</c:v>
                </c:pt>
                <c:pt idx="1">
                  <c:v>1.19966975910067E-005</c:v>
                </c:pt>
                <c:pt idx="2">
                  <c:v>0.000181033074372483</c:v>
                </c:pt>
                <c:pt idx="3">
                  <c:v>0.00138264193073109</c:v>
                </c:pt>
                <c:pt idx="4">
                  <c:v>0.00601894319099591</c:v>
                </c:pt>
                <c:pt idx="5">
                  <c:v>0.0163990939548279</c:v>
                </c:pt>
                <c:pt idx="6">
                  <c:v>0.0301329319337386</c:v>
                </c:pt>
                <c:pt idx="7">
                  <c:v>0.0396632715614615</c:v>
                </c:pt>
                <c:pt idx="8">
                  <c:v>0.0392880009447379</c:v>
                </c:pt>
                <c:pt idx="9">
                  <c:v>0.0304998631077705</c:v>
                </c:pt>
                <c:pt idx="10">
                  <c:v>0.0191943245619491</c:v>
                </c:pt>
                <c:pt idx="11">
                  <c:v>0.0100734553851117</c:v>
                </c:pt>
                <c:pt idx="12">
                  <c:v>0.00451532590962067</c:v>
                </c:pt>
                <c:pt idx="13">
                  <c:v>0.0017640673938999</c:v>
                </c:pt>
                <c:pt idx="14">
                  <c:v>0.000611198840645931</c:v>
                </c:pt>
                <c:pt idx="15">
                  <c:v>0.000190613626636965</c:v>
                </c:pt>
                <c:pt idx="16">
                  <c:v>5.42008981972433E-005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"T = 0.50"</c:f>
              <c:strCache>
                <c:ptCount val="1"/>
                <c:pt idx="0">
                  <c:v>T = 0.50</c:v>
                </c:pt>
              </c:strCache>
            </c:strRef>
          </c:tx>
          <c:spPr>
            <a:solidFill>
              <a:srgbClr val="2f4b6e"/>
            </a:solidFill>
            <a:ln w="28080">
              <a:solidFill>
                <a:srgbClr val="2f4b6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3_Gamma!$B$34:$B$50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3_Gamma!$E$34:$E$50</c:f>
              <c:numCache>
                <c:formatCode>0.00000</c:formatCode>
                <c:ptCount val="17"/>
                <c:pt idx="0">
                  <c:v>0.000163692285830256</c:v>
                </c:pt>
                <c:pt idx="1">
                  <c:v>0.000864449891305004</c:v>
                </c:pt>
                <c:pt idx="2">
                  <c:v>0.003032731709005</c:v>
                </c:pt>
                <c:pt idx="3">
                  <c:v>0.00762272861448903</c:v>
                </c:pt>
                <c:pt idx="4">
                  <c:v>0.0145537940094495</c:v>
                </c:pt>
                <c:pt idx="5">
                  <c:v>0.0221016011802615</c:v>
                </c:pt>
                <c:pt idx="6">
                  <c:v>0.0276950452144875</c:v>
                </c:pt>
                <c:pt idx="7">
                  <c:v>0.0294977671556154</c:v>
                </c:pt>
                <c:pt idx="8">
                  <c:v>0.027358658565221</c:v>
                </c:pt>
                <c:pt idx="9">
                  <c:v>0.0225412757873436</c:v>
                </c:pt>
                <c:pt idx="10">
                  <c:v>0.0167739872537947</c:v>
                </c:pt>
                <c:pt idx="11">
                  <c:v>0.011431271426787</c:v>
                </c:pt>
                <c:pt idx="12">
                  <c:v>0.00721830405242069</c:v>
                </c:pt>
                <c:pt idx="13">
                  <c:v>0.00426551184400821</c:v>
                </c:pt>
                <c:pt idx="14">
                  <c:v>0.00237894271950309</c:v>
                </c:pt>
                <c:pt idx="15">
                  <c:v>0.00126134204980607</c:v>
                </c:pt>
                <c:pt idx="16">
                  <c:v>0.00063979674524318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"T = 1.00"</c:f>
              <c:strCache>
                <c:ptCount val="1"/>
                <c:pt idx="0">
                  <c:v>T = 1.00</c:v>
                </c:pt>
              </c:strCache>
            </c:strRef>
          </c:tx>
          <c:spPr>
            <a:solidFill>
              <a:srgbClr val="3f6e5a"/>
            </a:solidFill>
            <a:ln w="28080">
              <a:solidFill>
                <a:srgbClr val="3f6e5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3_Gamma!$B$34:$B$50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3_Gamma!$F$34:$F$50</c:f>
              <c:numCache>
                <c:formatCode>0.00000</c:formatCode>
                <c:ptCount val="17"/>
                <c:pt idx="0">
                  <c:v>0.0029294647110991</c:v>
                </c:pt>
                <c:pt idx="1">
                  <c:v>0.00603040083209279</c:v>
                </c:pt>
                <c:pt idx="2">
                  <c:v>0.0102009195953553</c:v>
                </c:pt>
                <c:pt idx="3">
                  <c:v>0.0147088298914247</c:v>
                </c:pt>
                <c:pt idx="4">
                  <c:v>0.0185982256716879</c:v>
                </c:pt>
                <c:pt idx="5">
                  <c:v>0.0210859406350613</c:v>
                </c:pt>
                <c:pt idx="6">
                  <c:v>0.0218197475796601</c:v>
                </c:pt>
                <c:pt idx="7">
                  <c:v>0.0209053165326653</c:v>
                </c:pt>
                <c:pt idx="8">
                  <c:v>0.0187620173458469</c:v>
                </c:pt>
                <c:pt idx="9">
                  <c:v>0.015925243937886</c:v>
                </c:pt>
                <c:pt idx="10">
                  <c:v>0.0128865109060859</c:v>
                </c:pt>
                <c:pt idx="11">
                  <c:v>0.0100073680229733</c:v>
                </c:pt>
                <c:pt idx="12">
                  <c:v>0.00750024596353832</c:v>
                </c:pt>
                <c:pt idx="13">
                  <c:v>0.00545087774559774</c:v>
                </c:pt>
                <c:pt idx="14">
                  <c:v>0.00385702111652412</c:v>
                </c:pt>
                <c:pt idx="15">
                  <c:v>0.00266648803225283</c:v>
                </c:pt>
                <c:pt idx="16">
                  <c:v>0.00180645479235862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0372673"/>
        <c:axId val="62394523"/>
      </c:lineChart>
      <c:catAx>
        <c:axId val="7037267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394523"/>
        <c:crosses val="autoZero"/>
        <c:auto val="1"/>
        <c:lblAlgn val="ctr"/>
        <c:lblOffset val="100"/>
        <c:noMultiLvlLbl val="0"/>
      </c:catAx>
      <c:valAx>
        <c:axId val="623945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Gamma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37267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Gamma+Delta neutral stays flat over a wider range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4_GammaDeltaNeutral!C25</c:f>
              <c:strCache>
                <c:ptCount val="1"/>
                <c:pt idx="0">
                  <c:v>Delta-neutral only</c:v>
                </c:pt>
              </c:strCache>
            </c:strRef>
          </c:tx>
          <c:spPr>
            <a:solidFill>
              <a:srgbClr val="9b3a3a"/>
            </a:solidFill>
            <a:ln w="28080">
              <a:solidFill>
                <a:srgbClr val="9b3a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4_GammaDeltaNeutral!$B$26:$B$38</c:f>
              <c:strCache>
                <c:ptCount val="13"/>
                <c:pt idx="0">
                  <c:v>85.0</c:v>
                </c:pt>
                <c:pt idx="1">
                  <c:v>87.5</c:v>
                </c:pt>
                <c:pt idx="2">
                  <c:v>90.0</c:v>
                </c:pt>
                <c:pt idx="3">
                  <c:v>92.5</c:v>
                </c:pt>
                <c:pt idx="4">
                  <c:v>95.0</c:v>
                </c:pt>
                <c:pt idx="5">
                  <c:v>97.5</c:v>
                </c:pt>
                <c:pt idx="6">
                  <c:v>100.0</c:v>
                </c:pt>
                <c:pt idx="7">
                  <c:v>102.5</c:v>
                </c:pt>
                <c:pt idx="8">
                  <c:v>105.0</c:v>
                </c:pt>
                <c:pt idx="9">
                  <c:v>107.5</c:v>
                </c:pt>
                <c:pt idx="10">
                  <c:v>110.0</c:v>
                </c:pt>
                <c:pt idx="11">
                  <c:v>112.5</c:v>
                </c:pt>
                <c:pt idx="12">
                  <c:v>115.0</c:v>
                </c:pt>
              </c:strCache>
            </c:strRef>
          </c:cat>
          <c:val>
            <c:numRef>
              <c:f>4_GammaDeltaNeutral!$C$26:$C$38</c:f>
              <c:numCache>
                <c:formatCode>\₹#,##0;[RED]"-₹"#,##0;\-</c:formatCode>
                <c:ptCount val="13"/>
                <c:pt idx="0">
                  <c:v>-3205.88925987703</c:v>
                </c:pt>
                <c:pt idx="1">
                  <c:v>-2243.1362804606</c:v>
                </c:pt>
                <c:pt idx="2">
                  <c:v>-1438.04440681775</c:v>
                </c:pt>
                <c:pt idx="3">
                  <c:v>-805.534694444925</c:v>
                </c:pt>
                <c:pt idx="4">
                  <c:v>-354.484414982064</c:v>
                </c:pt>
                <c:pt idx="5">
                  <c:v>-87.2672035022488</c:v>
                </c:pt>
                <c:pt idx="6">
                  <c:v>0</c:v>
                </c:pt>
                <c:pt idx="7">
                  <c:v>-83.3714260560487</c:v>
                </c:pt>
                <c:pt idx="8">
                  <c:v>-323.856748604516</c:v>
                </c:pt>
                <c:pt idx="9">
                  <c:v>-705.105559889544</c:v>
                </c:pt>
                <c:pt idx="10">
                  <c:v>-1209.31076961669</c:v>
                </c:pt>
                <c:pt idx="11">
                  <c:v>-1818.41576678666</c:v>
                </c:pt>
                <c:pt idx="12">
                  <c:v>-2515.07423854573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4_GammaDeltaNeutral!D25</c:f>
              <c:strCache>
                <c:ptCount val="1"/>
                <c:pt idx="0">
                  <c:v>Gamma + Delta neutral</c:v>
                </c:pt>
              </c:strCache>
            </c:strRef>
          </c:tx>
          <c:spPr>
            <a:solidFill>
              <a:srgbClr val="3f6e5a"/>
            </a:solidFill>
            <a:ln w="28080">
              <a:solidFill>
                <a:srgbClr val="3f6e5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4_GammaDeltaNeutral!$B$26:$B$38</c:f>
              <c:strCache>
                <c:ptCount val="13"/>
                <c:pt idx="0">
                  <c:v>85.0</c:v>
                </c:pt>
                <c:pt idx="1">
                  <c:v>87.5</c:v>
                </c:pt>
                <c:pt idx="2">
                  <c:v>90.0</c:v>
                </c:pt>
                <c:pt idx="3">
                  <c:v>92.5</c:v>
                </c:pt>
                <c:pt idx="4">
                  <c:v>95.0</c:v>
                </c:pt>
                <c:pt idx="5">
                  <c:v>97.5</c:v>
                </c:pt>
                <c:pt idx="6">
                  <c:v>100.0</c:v>
                </c:pt>
                <c:pt idx="7">
                  <c:v>102.5</c:v>
                </c:pt>
                <c:pt idx="8">
                  <c:v>105.0</c:v>
                </c:pt>
                <c:pt idx="9">
                  <c:v>107.5</c:v>
                </c:pt>
                <c:pt idx="10">
                  <c:v>110.0</c:v>
                </c:pt>
                <c:pt idx="11">
                  <c:v>112.5</c:v>
                </c:pt>
                <c:pt idx="12">
                  <c:v>115.0</c:v>
                </c:pt>
              </c:strCache>
            </c:strRef>
          </c:cat>
          <c:val>
            <c:numRef>
              <c:f>4_GammaDeltaNeutral!$D$26:$D$38</c:f>
              <c:numCache>
                <c:formatCode>\₹#,##0;[RED]"-₹"#,##0;\-</c:formatCode>
                <c:ptCount val="13"/>
                <c:pt idx="0">
                  <c:v>-856.657370992657</c:v>
                </c:pt>
                <c:pt idx="1">
                  <c:v>-506.324717859476</c:v>
                </c:pt>
                <c:pt idx="2">
                  <c:v>-260.45005546951</c:v>
                </c:pt>
                <c:pt idx="3">
                  <c:v>-108.486498036533</c:v>
                </c:pt>
                <c:pt idx="4">
                  <c:v>-31.1750093224298</c:v>
                </c:pt>
                <c:pt idx="5">
                  <c:v>-3.71253654210375</c:v>
                </c:pt>
                <c:pt idx="6">
                  <c:v>0</c:v>
                </c:pt>
                <c:pt idx="7">
                  <c:v>3.20188562423061</c:v>
                </c:pt>
                <c:pt idx="8">
                  <c:v>23.2419842767504</c:v>
                </c:pt>
                <c:pt idx="9">
                  <c:v>70.2287559886613</c:v>
                </c:pt>
                <c:pt idx="10">
                  <c:v>147.340440057138</c:v>
                </c:pt>
                <c:pt idx="11">
                  <c:v>252.332250646867</c:v>
                </c:pt>
                <c:pt idx="12">
                  <c:v>379.589000764896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4816247"/>
        <c:axId val="50064410"/>
      </c:lineChart>
      <c:catAx>
        <c:axId val="44816247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064410"/>
        <c:crosses val="autoZero"/>
        <c:auto val="1"/>
        <c:lblAlgn val="ctr"/>
        <c:lblOffset val="100"/>
        <c:noMultiLvlLbl val="0"/>
      </c:catAx>
      <c:valAx>
        <c:axId val="500644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P&amp;L (₹)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₹#,##0;[RED]&quot;-₹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81624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Vega per 1% vol vs S (K = 100)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"T = 0.25"</c:f>
              <c:strCache>
                <c:ptCount val="1"/>
                <c:pt idx="0">
                  <c:v>T = 0.25</c:v>
                </c:pt>
              </c:strCache>
            </c:strRef>
          </c:tx>
          <c:spPr>
            <a:solidFill>
              <a:srgbClr val="3e5f82"/>
            </a:solidFill>
            <a:ln w="28080">
              <a:solidFill>
                <a:srgbClr val="3e5f8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5_Vega!$B$29:$B$45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5_Vega!$C$29:$C$45</c:f>
              <c:numCache>
                <c:formatCode>0.0000</c:formatCode>
                <c:ptCount val="17"/>
                <c:pt idx="0">
                  <c:v>6.2131981303919E-007</c:v>
                </c:pt>
                <c:pt idx="1">
                  <c:v>2.53430236610016E-005</c:v>
                </c:pt>
                <c:pt idx="2">
                  <c:v>0.000443531032212584</c:v>
                </c:pt>
                <c:pt idx="3">
                  <c:v>0.00388868043018118</c:v>
                </c:pt>
                <c:pt idx="4">
                  <c:v>0.0192606182111869</c:v>
                </c:pt>
                <c:pt idx="5">
                  <c:v>0.0592417269118157</c:v>
                </c:pt>
                <c:pt idx="6">
                  <c:v>0.122038374331641</c:v>
                </c:pt>
                <c:pt idx="7">
                  <c:v>0.178980512921095</c:v>
                </c:pt>
                <c:pt idx="8">
                  <c:v>0.19644000472369</c:v>
                </c:pt>
                <c:pt idx="9">
                  <c:v>0.168130495381585</c:v>
                </c:pt>
                <c:pt idx="10">
                  <c:v>0.116125663599792</c:v>
                </c:pt>
                <c:pt idx="11">
                  <c:v>0.0666107237340514</c:v>
                </c:pt>
                <c:pt idx="12">
                  <c:v>0.0325103465492688</c:v>
                </c:pt>
                <c:pt idx="13">
                  <c:v>0.013781776514843</c:v>
                </c:pt>
                <c:pt idx="14">
                  <c:v>0.00516463020345812</c:v>
                </c:pt>
                <c:pt idx="15">
                  <c:v>0.00173696667272935</c:v>
                </c:pt>
                <c:pt idx="16">
                  <c:v>0.000531168802332985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"T = 0.50"</c:f>
              <c:strCache>
                <c:ptCount val="1"/>
                <c:pt idx="0">
                  <c:v>T = 0.50</c:v>
                </c:pt>
              </c:strCache>
            </c:strRef>
          </c:tx>
          <c:spPr>
            <a:solidFill>
              <a:srgbClr val="2f4b6e"/>
            </a:solidFill>
            <a:ln w="28080">
              <a:solidFill>
                <a:srgbClr val="2f4b6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5_Vega!$B$29:$B$45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5_Vega!$D$29:$D$45</c:f>
              <c:numCache>
                <c:formatCode>0.0000</c:formatCode>
                <c:ptCount val="17"/>
                <c:pt idx="0">
                  <c:v>0.000589292228988922</c:v>
                </c:pt>
                <c:pt idx="1">
                  <c:v>0.00365230079076364</c:v>
                </c:pt>
                <c:pt idx="2">
                  <c:v>0.0148603853741245</c:v>
                </c:pt>
                <c:pt idx="3">
                  <c:v>0.0428778484565008</c:v>
                </c:pt>
                <c:pt idx="4">
                  <c:v>0.093144281660477</c:v>
                </c:pt>
                <c:pt idx="5">
                  <c:v>0.159684068527389</c:v>
                </c:pt>
                <c:pt idx="6">
                  <c:v>0.224329866237349</c:v>
                </c:pt>
                <c:pt idx="7">
                  <c:v>0.266217348579429</c:v>
                </c:pt>
                <c:pt idx="8">
                  <c:v>0.27358658565221</c:v>
                </c:pt>
                <c:pt idx="9">
                  <c:v>0.248517565555463</c:v>
                </c:pt>
                <c:pt idx="10">
                  <c:v>0.202965245770916</c:v>
                </c:pt>
                <c:pt idx="11">
                  <c:v>0.151178564619258</c:v>
                </c:pt>
                <c:pt idx="12">
                  <c:v>0.103943578354858</c:v>
                </c:pt>
                <c:pt idx="13">
                  <c:v>0.0666486225626283</c:v>
                </c:pt>
                <c:pt idx="14">
                  <c:v>0.0402041319596022</c:v>
                </c:pt>
                <c:pt idx="15">
                  <c:v>0.0229879588577156</c:v>
                </c:pt>
                <c:pt idx="16">
                  <c:v>0.0125400162067663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"T = 1.00"</c:f>
              <c:strCache>
                <c:ptCount val="1"/>
                <c:pt idx="0">
                  <c:v>T = 1.00</c:v>
                </c:pt>
              </c:strCache>
            </c:strRef>
          </c:tx>
          <c:spPr>
            <a:solidFill>
              <a:srgbClr val="3f6e5a"/>
            </a:solidFill>
            <a:ln w="28080">
              <a:solidFill>
                <a:srgbClr val="3f6e5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5_Vega!$B$29:$B$45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5_Vega!$E$29:$E$45</c:f>
              <c:numCache>
                <c:formatCode>0.0000</c:formatCode>
                <c:ptCount val="17"/>
                <c:pt idx="0">
                  <c:v>0.0210921459199135</c:v>
                </c:pt>
                <c:pt idx="1">
                  <c:v>0.0509568870311841</c:v>
                </c:pt>
                <c:pt idx="2">
                  <c:v>0.099969012034482</c:v>
                </c:pt>
                <c:pt idx="3">
                  <c:v>0.165474336278528</c:v>
                </c:pt>
                <c:pt idx="4">
                  <c:v>0.238057288597605</c:v>
                </c:pt>
                <c:pt idx="5">
                  <c:v>0.304691842176635</c:v>
                </c:pt>
                <c:pt idx="6">
                  <c:v>0.353479910790494</c:v>
                </c:pt>
                <c:pt idx="7">
                  <c:v>0.37734096341461</c:v>
                </c:pt>
                <c:pt idx="8">
                  <c:v>0.375240346916938</c:v>
                </c:pt>
                <c:pt idx="9">
                  <c:v>0.351151628830385</c:v>
                </c:pt>
                <c:pt idx="10">
                  <c:v>0.311853563927278</c:v>
                </c:pt>
                <c:pt idx="11">
                  <c:v>0.264694884207644</c:v>
                </c:pt>
                <c:pt idx="12">
                  <c:v>0.216007083749903</c:v>
                </c:pt>
                <c:pt idx="13">
                  <c:v>0.17033992954993</c:v>
                </c:pt>
                <c:pt idx="14">
                  <c:v>0.130367313738515</c:v>
                </c:pt>
                <c:pt idx="15">
                  <c:v>0.0971934887756158</c:v>
                </c:pt>
                <c:pt idx="16">
                  <c:v>0.070813027860458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"T = 2.00"</c:f>
              <c:strCache>
                <c:ptCount val="1"/>
                <c:pt idx="0">
                  <c:v>T = 2.00</c:v>
                </c:pt>
              </c:strCache>
            </c:strRef>
          </c:tx>
          <c:spPr>
            <a:solidFill>
              <a:srgbClr val="4a5568"/>
            </a:solidFill>
            <a:ln w="28080">
              <a:solidFill>
                <a:srgbClr val="4a556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5_Vega!$B$29:$B$45</c:f>
              <c:strCache>
                <c:ptCount val="17"/>
                <c:pt idx="0">
                  <c:v>60</c:v>
                </c:pt>
                <c:pt idx="1">
                  <c:v>65</c:v>
                </c:pt>
                <c:pt idx="2">
                  <c:v>70</c:v>
                </c:pt>
                <c:pt idx="3">
                  <c:v>75</c:v>
                </c:pt>
                <c:pt idx="4">
                  <c:v>80</c:v>
                </c:pt>
                <c:pt idx="5">
                  <c:v>85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105</c:v>
                </c:pt>
                <c:pt idx="10">
                  <c:v>110</c:v>
                </c:pt>
                <c:pt idx="11">
                  <c:v>115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</c:strCache>
            </c:strRef>
          </c:cat>
          <c:val>
            <c:numRef>
              <c:f>5_Vega!$F$29:$F$45</c:f>
              <c:numCache>
                <c:formatCode>0.0000</c:formatCode>
                <c:ptCount val="17"/>
                <c:pt idx="0">
                  <c:v>0.143325310046425</c:v>
                </c:pt>
                <c:pt idx="1">
                  <c:v>0.216186296151887</c:v>
                </c:pt>
                <c:pt idx="2">
                  <c:v>0.294503296418568</c:v>
                </c:pt>
                <c:pt idx="3">
                  <c:v>0.369221153995369</c:v>
                </c:pt>
                <c:pt idx="4">
                  <c:v>0.432266143497989</c:v>
                </c:pt>
                <c:pt idx="5">
                  <c:v>0.478043636416401</c:v>
                </c:pt>
                <c:pt idx="6">
                  <c:v>0.503976925193872</c:v>
                </c:pt>
                <c:pt idx="7">
                  <c:v>0.510258032597873</c:v>
                </c:pt>
                <c:pt idx="8">
                  <c:v>0.499141856072305</c:v>
                </c:pt>
                <c:pt idx="9">
                  <c:v>0.474100683782734</c:v>
                </c:pt>
                <c:pt idx="10">
                  <c:v>0.439058434037714</c:v>
                </c:pt>
                <c:pt idx="11">
                  <c:v>0.397814225384724</c:v>
                </c:pt>
                <c:pt idx="12">
                  <c:v>0.353679798754515</c:v>
                </c:pt>
                <c:pt idx="13">
                  <c:v>0.309304473994618</c:v>
                </c:pt>
                <c:pt idx="14">
                  <c:v>0.266639708901948</c:v>
                </c:pt>
                <c:pt idx="15">
                  <c:v>0.22699309571321</c:v>
                </c:pt>
                <c:pt idx="16">
                  <c:v>0.191129531003777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4281627"/>
        <c:axId val="30847662"/>
      </c:lineChart>
      <c:catAx>
        <c:axId val="6428162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847662"/>
        <c:crosses val="autoZero"/>
        <c:auto val="1"/>
        <c:lblAlgn val="ctr"/>
        <c:lblOffset val="100"/>
        <c:noMultiLvlLbl val="0"/>
      </c:catAx>
      <c:valAx>
        <c:axId val="308476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₹ per vol point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28162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P&amp;L under joint price + volatility shocks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6_GVD_Neutral!D37</c:f>
              <c:strCache>
                <c:ptCount val="1"/>
                <c:pt idx="0">
                  <c:v>Unhedged</c:v>
                </c:pt>
              </c:strCache>
            </c:strRef>
          </c:tx>
          <c:spPr>
            <a:solidFill>
              <a:srgbClr val="3e5f82"/>
            </a:solidFill>
            <a:ln w="0">
              <a:solidFill>
                <a:srgbClr val="3e5f82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6_GVD_Neutral!$B$38:$B$42</c:f>
              <c:strCache>
                <c:ptCount val="5"/>
                <c:pt idx="0">
                  <c:v>105.00</c:v>
                </c:pt>
                <c:pt idx="1">
                  <c:v>95.00</c:v>
                </c:pt>
                <c:pt idx="2">
                  <c:v>110.00</c:v>
                </c:pt>
                <c:pt idx="3">
                  <c:v>100.00</c:v>
                </c:pt>
                <c:pt idx="4">
                  <c:v>90.00</c:v>
                </c:pt>
              </c:strCache>
            </c:strRef>
          </c:cat>
          <c:val>
            <c:numRef>
              <c:f>6_GVD_Neutral!$D$38:$D$42</c:f>
              <c:numCache>
                <c:formatCode>\₹#,##0;[RED]"-₹"#,##0;\-</c:formatCode>
                <c:ptCount val="5"/>
                <c:pt idx="0">
                  <c:v>-3815.63441130362</c:v>
                </c:pt>
                <c:pt idx="1">
                  <c:v>3165.72985344518</c:v>
                </c:pt>
                <c:pt idx="2">
                  <c:v>-8277.65503055383</c:v>
                </c:pt>
                <c:pt idx="3">
                  <c:v>-1371.28662166261</c:v>
                </c:pt>
                <c:pt idx="4">
                  <c:v>5603.46276975515</c:v>
                </c:pt>
              </c:numCache>
            </c:numRef>
          </c:val>
        </c:ser>
        <c:ser>
          <c:idx val="1"/>
          <c:order val="1"/>
          <c:tx>
            <c:strRef>
              <c:f>6_GVD_Neutral!E37</c:f>
              <c:strCache>
                <c:ptCount val="1"/>
                <c:pt idx="0">
                  <c:v>Δ-neutral</c:v>
                </c:pt>
              </c:strCache>
            </c:strRef>
          </c:tx>
          <c:spPr>
            <a:solidFill>
              <a:srgbClr val="9b3a3a"/>
            </a:solidFill>
            <a:ln w="0">
              <a:solidFill>
                <a:srgbClr val="9b3a3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6_GVD_Neutral!$B$38:$B$42</c:f>
              <c:strCache>
                <c:ptCount val="5"/>
                <c:pt idx="0">
                  <c:v>105.00</c:v>
                </c:pt>
                <c:pt idx="1">
                  <c:v>95.00</c:v>
                </c:pt>
                <c:pt idx="2">
                  <c:v>110.00</c:v>
                </c:pt>
                <c:pt idx="3">
                  <c:v>100.00</c:v>
                </c:pt>
                <c:pt idx="4">
                  <c:v>90.00</c:v>
                </c:pt>
              </c:strCache>
            </c:strRef>
          </c:cat>
          <c:val>
            <c:numRef>
              <c:f>6_GVD_Neutral!$E$38:$E$42</c:f>
              <c:numCache>
                <c:formatCode>\₹#,##0;[RED]"-₹"#,##0;\-</c:formatCode>
                <c:ptCount val="5"/>
                <c:pt idx="0">
                  <c:v>-826.962066761428</c:v>
                </c:pt>
                <c:pt idx="1">
                  <c:v>177.057508902987</c:v>
                </c:pt>
                <c:pt idx="2">
                  <c:v>-2300.31034146945</c:v>
                </c:pt>
                <c:pt idx="3">
                  <c:v>-1371.28662166261</c:v>
                </c:pt>
                <c:pt idx="4">
                  <c:v>-373.881919329233</c:v>
                </c:pt>
              </c:numCache>
            </c:numRef>
          </c:val>
        </c:ser>
        <c:ser>
          <c:idx val="2"/>
          <c:order val="2"/>
          <c:tx>
            <c:strRef>
              <c:f>6_GVD_Neutral!F37</c:f>
              <c:strCache>
                <c:ptCount val="1"/>
                <c:pt idx="0">
                  <c:v>Γ+Δ-neutral</c:v>
                </c:pt>
              </c:strCache>
            </c:strRef>
          </c:tx>
          <c:spPr>
            <a:solidFill>
              <a:srgbClr val="4a5568"/>
            </a:solidFill>
            <a:ln w="0">
              <a:solidFill>
                <a:srgbClr val="4a556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6_GVD_Neutral!$B$38:$B$42</c:f>
              <c:strCache>
                <c:ptCount val="5"/>
                <c:pt idx="0">
                  <c:v>105.00</c:v>
                </c:pt>
                <c:pt idx="1">
                  <c:v>95.00</c:v>
                </c:pt>
                <c:pt idx="2">
                  <c:v>110.00</c:v>
                </c:pt>
                <c:pt idx="3">
                  <c:v>100.00</c:v>
                </c:pt>
                <c:pt idx="4">
                  <c:v>90.00</c:v>
                </c:pt>
              </c:strCache>
            </c:strRef>
          </c:cat>
          <c:val>
            <c:numRef>
              <c:f>6_GVD_Neutral!$F$38:$F$42</c:f>
              <c:numCache>
                <c:formatCode>\₹#,##0;[RED]"-₹"#,##0;\-</c:formatCode>
                <c:ptCount val="5"/>
                <c:pt idx="0">
                  <c:v>-182.596356527759</c:v>
                </c:pt>
                <c:pt idx="1">
                  <c:v>314.298144718954</c:v>
                </c:pt>
                <c:pt idx="2">
                  <c:v>-277.254063098526</c:v>
                </c:pt>
                <c:pt idx="3">
                  <c:v>-678.472411231369</c:v>
                </c:pt>
                <c:pt idx="4">
                  <c:v>617.318415537785</c:v>
                </c:pt>
              </c:numCache>
            </c:numRef>
          </c:val>
        </c:ser>
        <c:ser>
          <c:idx val="3"/>
          <c:order val="3"/>
          <c:tx>
            <c:strRef>
              <c:f>6_GVD_Neutral!G37</c:f>
              <c:strCache>
                <c:ptCount val="1"/>
                <c:pt idx="0">
                  <c:v>Γ+ν+Δ-neutral</c:v>
                </c:pt>
              </c:strCache>
            </c:strRef>
          </c:tx>
          <c:spPr>
            <a:solidFill>
              <a:srgbClr val="3f6e5a"/>
            </a:solidFill>
            <a:ln w="0">
              <a:solidFill>
                <a:srgbClr val="3f6e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6_GVD_Neutral!$B$38:$B$42</c:f>
              <c:strCache>
                <c:ptCount val="5"/>
                <c:pt idx="0">
                  <c:v>105.00</c:v>
                </c:pt>
                <c:pt idx="1">
                  <c:v>95.00</c:v>
                </c:pt>
                <c:pt idx="2">
                  <c:v>110.00</c:v>
                </c:pt>
                <c:pt idx="3">
                  <c:v>100.00</c:v>
                </c:pt>
                <c:pt idx="4">
                  <c:v>90.00</c:v>
                </c:pt>
              </c:strCache>
            </c:strRef>
          </c:cat>
          <c:val>
            <c:numRef>
              <c:f>6_GVD_Neutral!$G$38:$G$42</c:f>
              <c:numCache>
                <c:formatCode>\₹#,##0;[RED]"-₹"#,##0;\-</c:formatCode>
                <c:ptCount val="5"/>
                <c:pt idx="0">
                  <c:v>37.7302474680837</c:v>
                </c:pt>
                <c:pt idx="1">
                  <c:v>-0.563728732068284</c:v>
                </c:pt>
                <c:pt idx="2">
                  <c:v>181.637908051975</c:v>
                </c:pt>
                <c:pt idx="3">
                  <c:v>25.0458631244305</c:v>
                </c:pt>
                <c:pt idx="4">
                  <c:v>-184.143413441775</c:v>
                </c:pt>
              </c:numCache>
            </c:numRef>
          </c:val>
        </c:ser>
        <c:gapWidth val="150"/>
        <c:overlap val="0"/>
        <c:axId val="24132475"/>
        <c:axId val="6049893"/>
      </c:barChart>
      <c:catAx>
        <c:axId val="24132475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49893"/>
        <c:crosses val="autoZero"/>
        <c:auto val="1"/>
        <c:lblAlgn val="ctr"/>
        <c:lblOffset val="100"/>
        <c:noMultiLvlLbl val="0"/>
      </c:catAx>
      <c:valAx>
        <c:axId val="60498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P&amp;L (₹)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₹#,##0;[RED]&quot;-₹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13247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6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7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17</xdr:col>
      <xdr:colOff>147600</xdr:colOff>
      <xdr:row>17</xdr:row>
      <xdr:rowOff>165960</xdr:rowOff>
    </xdr:to>
    <xdr:graphicFrame>
      <xdr:nvGraphicFramePr>
        <xdr:cNvPr id="0" name="Chart 1"/>
        <xdr:cNvGraphicFramePr/>
      </xdr:nvGraphicFramePr>
      <xdr:xfrm>
        <a:off x="8364960" y="78120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26</xdr:row>
      <xdr:rowOff>0</xdr:rowOff>
    </xdr:from>
    <xdr:to>
      <xdr:col>10</xdr:col>
      <xdr:colOff>229320</xdr:colOff>
      <xdr:row>40</xdr:row>
      <xdr:rowOff>42840</xdr:rowOff>
    </xdr:to>
    <xdr:graphicFrame>
      <xdr:nvGraphicFramePr>
        <xdr:cNvPr id="1" name="Chart 1"/>
        <xdr:cNvGraphicFramePr/>
      </xdr:nvGraphicFramePr>
      <xdr:xfrm>
        <a:off x="4933800" y="518148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26</xdr:row>
      <xdr:rowOff>0</xdr:rowOff>
    </xdr:from>
    <xdr:to>
      <xdr:col>11</xdr:col>
      <xdr:colOff>604800</xdr:colOff>
      <xdr:row>40</xdr:row>
      <xdr:rowOff>43200</xdr:rowOff>
    </xdr:to>
    <xdr:graphicFrame>
      <xdr:nvGraphicFramePr>
        <xdr:cNvPr id="2" name="Chart 1"/>
        <xdr:cNvGraphicFramePr/>
      </xdr:nvGraphicFramePr>
      <xdr:xfrm>
        <a:off x="6061680" y="562932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15</xdr:col>
      <xdr:colOff>202680</xdr:colOff>
      <xdr:row>17</xdr:row>
      <xdr:rowOff>64080</xdr:rowOff>
    </xdr:to>
    <xdr:graphicFrame>
      <xdr:nvGraphicFramePr>
        <xdr:cNvPr id="3" name="Chart 1"/>
        <xdr:cNvGraphicFramePr/>
      </xdr:nvGraphicFramePr>
      <xdr:xfrm>
        <a:off x="7823880" y="78120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11</xdr:col>
      <xdr:colOff>604800</xdr:colOff>
      <xdr:row>18</xdr:row>
      <xdr:rowOff>41400</xdr:rowOff>
    </xdr:to>
    <xdr:graphicFrame>
      <xdr:nvGraphicFramePr>
        <xdr:cNvPr id="4" name="Chart 1"/>
        <xdr:cNvGraphicFramePr/>
      </xdr:nvGraphicFramePr>
      <xdr:xfrm>
        <a:off x="6484680" y="78120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15</xdr:col>
      <xdr:colOff>203040</xdr:colOff>
      <xdr:row>18</xdr:row>
      <xdr:rowOff>98640</xdr:rowOff>
    </xdr:to>
    <xdr:graphicFrame>
      <xdr:nvGraphicFramePr>
        <xdr:cNvPr id="5" name="Chart 1"/>
        <xdr:cNvGraphicFramePr/>
      </xdr:nvGraphicFramePr>
      <xdr:xfrm>
        <a:off x="8528760" y="78120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42</xdr:row>
      <xdr:rowOff>43920</xdr:rowOff>
    </xdr:from>
    <xdr:to>
      <xdr:col>5</xdr:col>
      <xdr:colOff>50400</xdr:colOff>
      <xdr:row>58</xdr:row>
      <xdr:rowOff>55440</xdr:rowOff>
    </xdr:to>
    <xdr:graphicFrame>
      <xdr:nvGraphicFramePr>
        <xdr:cNvPr id="6" name="Chart 1"/>
        <xdr:cNvGraphicFramePr/>
      </xdr:nvGraphicFramePr>
      <xdr:xfrm>
        <a:off x="281880" y="893448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Option_Greeks_Basics.xlsx" TargetMode="External"/><Relationship Id="rId2" Type="http://schemas.openxmlformats.org/officeDocument/2006/relationships/hyperlink" Target="Option_Greeks_Basics.xlsx" TargetMode="External"/><Relationship Id="rId3" Type="http://schemas.openxmlformats.org/officeDocument/2006/relationships/hyperlink" Target="Option_Greeks_Basics.xlsx" TargetMode="External"/><Relationship Id="rId4" Type="http://schemas.openxmlformats.org/officeDocument/2006/relationships/hyperlink" Target="Option_Greeks_Basics.xlsx" TargetMode="External"/><Relationship Id="rId5" Type="http://schemas.openxmlformats.org/officeDocument/2006/relationships/hyperlink" Target="Option_Greeks_Basics.xlsx" TargetMode="External"/><Relationship Id="rId6" Type="http://schemas.openxmlformats.org/officeDocument/2006/relationships/hyperlink" Target="Option_Greeks_Basics.xlsx" TargetMode="External"/><Relationship Id="rId7" Type="http://schemas.openxmlformats.org/officeDocument/2006/relationships/hyperlink" Target="Option_Greeks_Basics.xlsx" TargetMode="External"/><Relationship Id="rId8" Type="http://schemas.openxmlformats.org/officeDocument/2006/relationships/hyperlink" Target="Option_Greeks_Basics.xlsx" TargetMode="External"/><Relationship Id="rId9" Type="http://schemas.openxmlformats.org/officeDocument/2006/relationships/hyperlink" Target="Option_Greeks_Basics.xlsx" TargetMode="External"/><Relationship Id="rId10" Type="http://schemas.openxmlformats.org/officeDocument/2006/relationships/hyperlink" Target="Option_Greeks_Basics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false"/>
  </sheetPr>
  <dimension ref="A1:H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8" min="4" style="0" width="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</row>
    <row r="6" customFormat="false" ht="15" hidden="false" customHeight="false" outlineLevel="0" collapsed="false">
      <c r="A6" s="5" t="s">
        <v>3</v>
      </c>
      <c r="B6" s="6" t="s">
        <v>4</v>
      </c>
      <c r="C6" s="7" t="s">
        <v>5</v>
      </c>
    </row>
    <row r="7" customFormat="false" ht="15" hidden="false" customHeight="false" outlineLevel="0" collapsed="false">
      <c r="A7" s="5" t="n">
        <v>1</v>
      </c>
      <c r="B7" s="6" t="s">
        <v>6</v>
      </c>
      <c r="C7" s="7" t="s">
        <v>7</v>
      </c>
    </row>
    <row r="8" customFormat="false" ht="15" hidden="false" customHeight="false" outlineLevel="0" collapsed="false">
      <c r="A8" s="8" t="n">
        <v>2</v>
      </c>
      <c r="B8" s="9" t="s">
        <v>8</v>
      </c>
      <c r="C8" s="7" t="s">
        <v>9</v>
      </c>
    </row>
    <row r="9" customFormat="false" ht="15" hidden="false" customHeight="false" outlineLevel="0" collapsed="false">
      <c r="A9" s="8" t="n">
        <v>3</v>
      </c>
      <c r="B9" s="9" t="s">
        <v>10</v>
      </c>
      <c r="C9" s="7" t="s">
        <v>11</v>
      </c>
    </row>
    <row r="10" customFormat="false" ht="15" hidden="false" customHeight="false" outlineLevel="0" collapsed="false">
      <c r="A10" s="10" t="n">
        <v>4</v>
      </c>
      <c r="B10" s="11" t="s">
        <v>12</v>
      </c>
      <c r="C10" s="7" t="s">
        <v>13</v>
      </c>
    </row>
    <row r="11" customFormat="false" ht="15" hidden="false" customHeight="false" outlineLevel="0" collapsed="false">
      <c r="A11" s="10" t="n">
        <v>5</v>
      </c>
      <c r="B11" s="11" t="s">
        <v>14</v>
      </c>
      <c r="C11" s="7" t="s">
        <v>15</v>
      </c>
    </row>
    <row r="12" customFormat="false" ht="15" hidden="false" customHeight="false" outlineLevel="0" collapsed="false">
      <c r="A12" s="12" t="n">
        <v>6</v>
      </c>
      <c r="B12" s="13" t="s">
        <v>16</v>
      </c>
      <c r="C12" s="7" t="s">
        <v>17</v>
      </c>
    </row>
    <row r="13" customFormat="false" ht="15" hidden="false" customHeight="false" outlineLevel="0" collapsed="false">
      <c r="A13" s="12" t="n">
        <v>7</v>
      </c>
      <c r="B13" s="13" t="s">
        <v>18</v>
      </c>
      <c r="C13" s="7" t="s">
        <v>19</v>
      </c>
    </row>
    <row r="14" customFormat="false" ht="15" hidden="false" customHeight="false" outlineLevel="0" collapsed="false">
      <c r="A14" s="14" t="n">
        <v>8</v>
      </c>
      <c r="B14" s="15" t="s">
        <v>20</v>
      </c>
      <c r="C14" s="7" t="s">
        <v>21</v>
      </c>
    </row>
    <row r="15" customFormat="false" ht="15" hidden="false" customHeight="false" outlineLevel="0" collapsed="false">
      <c r="A15" s="5" t="n">
        <v>9</v>
      </c>
      <c r="B15" s="6" t="s">
        <v>22</v>
      </c>
      <c r="C15" s="7" t="s">
        <v>23</v>
      </c>
    </row>
    <row r="17" customFormat="false" ht="19.5" hidden="false" customHeight="true" outlineLevel="0" collapsed="false">
      <c r="A17" s="4" t="s">
        <v>24</v>
      </c>
      <c r="B17" s="4"/>
      <c r="C17" s="4"/>
      <c r="D17" s="4"/>
      <c r="E17" s="4"/>
      <c r="F17" s="4"/>
      <c r="G17" s="4"/>
      <c r="H17" s="4"/>
    </row>
    <row r="18" customFormat="false" ht="15" hidden="false" customHeight="false" outlineLevel="0" collapsed="false">
      <c r="B18" s="16" t="s">
        <v>25</v>
      </c>
      <c r="C18" s="7" t="s">
        <v>26</v>
      </c>
    </row>
    <row r="19" customFormat="false" ht="15" hidden="false" customHeight="false" outlineLevel="0" collapsed="false">
      <c r="B19" s="17" t="s">
        <v>27</v>
      </c>
      <c r="C19" s="7" t="s">
        <v>28</v>
      </c>
    </row>
    <row r="20" customFormat="false" ht="15" hidden="false" customHeight="false" outlineLevel="0" collapsed="false">
      <c r="B20" s="18" t="s">
        <v>29</v>
      </c>
      <c r="C20" s="7" t="s">
        <v>30</v>
      </c>
    </row>
    <row r="22" customFormat="false" ht="19.5" hidden="false" customHeight="true" outlineLevel="0" collapsed="false">
      <c r="A22" s="4" t="s">
        <v>31</v>
      </c>
      <c r="B22" s="4"/>
      <c r="C22" s="4"/>
      <c r="D22" s="4"/>
      <c r="E22" s="4"/>
      <c r="F22" s="4"/>
      <c r="G22" s="4"/>
      <c r="H22" s="4"/>
    </row>
    <row r="23" customFormat="false" ht="60" hidden="false" customHeight="true" outlineLevel="0" collapsed="false">
      <c r="A23" s="19" t="s">
        <v>32</v>
      </c>
      <c r="B23" s="19"/>
      <c r="C23" s="19"/>
      <c r="D23" s="19"/>
      <c r="E23" s="19"/>
      <c r="F23" s="19"/>
      <c r="G23" s="19"/>
      <c r="H23" s="19"/>
    </row>
  </sheetData>
  <mergeCells count="6">
    <mergeCell ref="A1:H1"/>
    <mergeCell ref="A2:H2"/>
    <mergeCell ref="A5:H5"/>
    <mergeCell ref="A17:H17"/>
    <mergeCell ref="A22:H22"/>
    <mergeCell ref="A23:H23"/>
  </mergeCells>
  <hyperlinks>
    <hyperlink ref="B6" r:id="rId1" location="'0_Prerequisites'!A1" display="0_Prerequisites"/>
    <hyperlink ref="B7" r:id="rId2" location="'Inputs_BS'!A1" display="Inputs_BS"/>
    <hyperlink ref="B8" r:id="rId3" location="'1_Delta'!A1" display="1_Delta"/>
    <hyperlink ref="B9" r:id="rId4" location="'2_DeltaNeutral'!A1" display="2_DeltaNeutral"/>
    <hyperlink ref="B10" r:id="rId5" location="'3_Gamma'!A1" display="3_Gamma"/>
    <hyperlink ref="B11" r:id="rId6" location="'4_GammaDeltaNeutral'!A1" display="4_GammaDeltaNeutral"/>
    <hyperlink ref="B12" r:id="rId7" location="'5_Vega'!A1" display="5_Vega"/>
    <hyperlink ref="B13" r:id="rId8" location="'6_GVD_Neutral'!A1" display="6_GVD_Neutral"/>
    <hyperlink ref="B14" r:id="rId9" location="'7_Theta_Rho'!A1" display="7_Theta_Rho"/>
    <hyperlink ref="B15" r:id="rId10" location="'8_Caselets'!A1" display="8_Caselet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fals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8" min="3" style="0" width="14"/>
  </cols>
  <sheetData>
    <row r="1" customFormat="false" ht="27.75" hidden="false" customHeight="true" outlineLevel="0" collapsed="false">
      <c r="A1" s="1" t="s">
        <v>33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34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20" t="s">
        <v>35</v>
      </c>
      <c r="B5" s="20"/>
      <c r="C5" s="20"/>
      <c r="D5" s="20"/>
      <c r="E5" s="20"/>
      <c r="F5" s="20"/>
      <c r="G5" s="20"/>
      <c r="H5" s="20"/>
    </row>
    <row r="6" customFormat="false" ht="15" hidden="false" customHeight="false" outlineLevel="0" collapsed="false">
      <c r="B6" s="21" t="s">
        <v>36</v>
      </c>
      <c r="C6" s="22" t="n">
        <f aca="false">K_A</f>
        <v>100</v>
      </c>
    </row>
    <row r="7" customFormat="false" ht="15" hidden="false" customHeight="false" outlineLevel="0" collapsed="false">
      <c r="B7" s="21" t="s">
        <v>37</v>
      </c>
      <c r="C7" s="23" t="n">
        <f aca="false">C0_A</f>
        <v>6.88872857768062</v>
      </c>
    </row>
    <row r="8" customFormat="false" ht="15" hidden="false" customHeight="false" outlineLevel="0" collapsed="false">
      <c r="B8" s="21" t="s">
        <v>38</v>
      </c>
      <c r="C8" s="23" t="n">
        <f aca="false">Inputs_BS!C22</f>
        <v>4.41971978051388</v>
      </c>
    </row>
    <row r="9" customFormat="false" ht="15" hidden="false" customHeight="false" outlineLevel="0" collapsed="false">
      <c r="B9" s="21" t="s">
        <v>39</v>
      </c>
      <c r="C9" s="24" t="n">
        <f aca="false">C6+C7</f>
        <v>106.888728577681</v>
      </c>
    </row>
    <row r="10" customFormat="false" ht="15" hidden="false" customHeight="false" outlineLevel="0" collapsed="false">
      <c r="B10" s="21" t="s">
        <v>40</v>
      </c>
      <c r="C10" s="24" t="n">
        <f aca="false">C6-C8</f>
        <v>95.5802802194861</v>
      </c>
    </row>
    <row r="12" customFormat="false" ht="15" hidden="false" customHeight="false" outlineLevel="0" collapsed="false">
      <c r="B12" s="25" t="s">
        <v>41</v>
      </c>
      <c r="C12" s="25" t="s">
        <v>42</v>
      </c>
      <c r="D12" s="25" t="s">
        <v>43</v>
      </c>
      <c r="E12" s="25" t="s">
        <v>44</v>
      </c>
      <c r="F12" s="25" t="s">
        <v>45</v>
      </c>
      <c r="G12" s="25" t="s">
        <v>46</v>
      </c>
      <c r="H12" s="25" t="s">
        <v>47</v>
      </c>
    </row>
    <row r="13" customFormat="false" ht="15" hidden="false" customHeight="false" outlineLevel="0" collapsed="false">
      <c r="B13" s="26" t="n">
        <v>70</v>
      </c>
      <c r="C13" s="27" t="n">
        <f aca="false">G13-$C$7</f>
        <v>-6.88872857768062</v>
      </c>
      <c r="D13" s="27" t="n">
        <f aca="false">-C13</f>
        <v>6.88872857768062</v>
      </c>
      <c r="E13" s="27" t="n">
        <f aca="false">H13-$C$8</f>
        <v>25.5802802194861</v>
      </c>
      <c r="F13" s="27" t="n">
        <f aca="false">-E13</f>
        <v>-25.5802802194861</v>
      </c>
      <c r="G13" s="24" t="n">
        <f aca="false">MAX(B13-$C$6,0)</f>
        <v>0</v>
      </c>
      <c r="H13" s="24" t="n">
        <f aca="false">MAX($C$6-B13,0)</f>
        <v>30</v>
      </c>
    </row>
    <row r="14" customFormat="false" ht="15" hidden="false" customHeight="false" outlineLevel="0" collapsed="false">
      <c r="B14" s="26" t="n">
        <v>75</v>
      </c>
      <c r="C14" s="27" t="n">
        <f aca="false">G14-$C$7</f>
        <v>-6.88872857768062</v>
      </c>
      <c r="D14" s="27" t="n">
        <f aca="false">-C14</f>
        <v>6.88872857768062</v>
      </c>
      <c r="E14" s="27" t="n">
        <f aca="false">H14-$C$8</f>
        <v>20.5802802194861</v>
      </c>
      <c r="F14" s="27" t="n">
        <f aca="false">-E14</f>
        <v>-20.5802802194861</v>
      </c>
      <c r="G14" s="24" t="n">
        <f aca="false">MAX(B14-$C$6,0)</f>
        <v>0</v>
      </c>
      <c r="H14" s="24" t="n">
        <f aca="false">MAX($C$6-B14,0)</f>
        <v>25</v>
      </c>
    </row>
    <row r="15" customFormat="false" ht="15" hidden="false" customHeight="false" outlineLevel="0" collapsed="false">
      <c r="B15" s="26" t="n">
        <v>80</v>
      </c>
      <c r="C15" s="27" t="n">
        <f aca="false">G15-$C$7</f>
        <v>-6.88872857768062</v>
      </c>
      <c r="D15" s="27" t="n">
        <f aca="false">-C15</f>
        <v>6.88872857768062</v>
      </c>
      <c r="E15" s="27" t="n">
        <f aca="false">H15-$C$8</f>
        <v>15.5802802194861</v>
      </c>
      <c r="F15" s="27" t="n">
        <f aca="false">-E15</f>
        <v>-15.5802802194861</v>
      </c>
      <c r="G15" s="24" t="n">
        <f aca="false">MAX(B15-$C$6,0)</f>
        <v>0</v>
      </c>
      <c r="H15" s="24" t="n">
        <f aca="false">MAX($C$6-B15,0)</f>
        <v>20</v>
      </c>
    </row>
    <row r="16" customFormat="false" ht="15" hidden="false" customHeight="false" outlineLevel="0" collapsed="false">
      <c r="B16" s="26" t="n">
        <v>85</v>
      </c>
      <c r="C16" s="27" t="n">
        <f aca="false">G16-$C$7</f>
        <v>-6.88872857768062</v>
      </c>
      <c r="D16" s="27" t="n">
        <f aca="false">-C16</f>
        <v>6.88872857768062</v>
      </c>
      <c r="E16" s="27" t="n">
        <f aca="false">H16-$C$8</f>
        <v>10.5802802194861</v>
      </c>
      <c r="F16" s="27" t="n">
        <f aca="false">-E16</f>
        <v>-10.5802802194861</v>
      </c>
      <c r="G16" s="24" t="n">
        <f aca="false">MAX(B16-$C$6,0)</f>
        <v>0</v>
      </c>
      <c r="H16" s="24" t="n">
        <f aca="false">MAX($C$6-B16,0)</f>
        <v>15</v>
      </c>
    </row>
    <row r="17" customFormat="false" ht="15" hidden="false" customHeight="false" outlineLevel="0" collapsed="false">
      <c r="B17" s="26" t="n">
        <v>90</v>
      </c>
      <c r="C17" s="27" t="n">
        <f aca="false">G17-$C$7</f>
        <v>-6.88872857768062</v>
      </c>
      <c r="D17" s="27" t="n">
        <f aca="false">-C17</f>
        <v>6.88872857768062</v>
      </c>
      <c r="E17" s="27" t="n">
        <f aca="false">H17-$C$8</f>
        <v>5.58028021948612</v>
      </c>
      <c r="F17" s="27" t="n">
        <f aca="false">-E17</f>
        <v>-5.58028021948612</v>
      </c>
      <c r="G17" s="24" t="n">
        <f aca="false">MAX(B17-$C$6,0)</f>
        <v>0</v>
      </c>
      <c r="H17" s="24" t="n">
        <f aca="false">MAX($C$6-B17,0)</f>
        <v>10</v>
      </c>
    </row>
    <row r="18" customFormat="false" ht="15" hidden="false" customHeight="false" outlineLevel="0" collapsed="false">
      <c r="B18" s="26" t="n">
        <v>95</v>
      </c>
      <c r="C18" s="27" t="n">
        <f aca="false">G18-$C$7</f>
        <v>-6.88872857768062</v>
      </c>
      <c r="D18" s="27" t="n">
        <f aca="false">-C18</f>
        <v>6.88872857768062</v>
      </c>
      <c r="E18" s="27" t="n">
        <f aca="false">H18-$C$8</f>
        <v>0.58028021948612</v>
      </c>
      <c r="F18" s="27" t="n">
        <f aca="false">-E18</f>
        <v>-0.58028021948612</v>
      </c>
      <c r="G18" s="24" t="n">
        <f aca="false">MAX(B18-$C$6,0)</f>
        <v>0</v>
      </c>
      <c r="H18" s="24" t="n">
        <f aca="false">MAX($C$6-B18,0)</f>
        <v>5</v>
      </c>
    </row>
    <row r="19" customFormat="false" ht="15" hidden="false" customHeight="false" outlineLevel="0" collapsed="false">
      <c r="B19" s="26" t="n">
        <v>100</v>
      </c>
      <c r="C19" s="27" t="n">
        <f aca="false">G19-$C$7</f>
        <v>-6.88872857768062</v>
      </c>
      <c r="D19" s="27" t="n">
        <f aca="false">-C19</f>
        <v>6.88872857768062</v>
      </c>
      <c r="E19" s="27" t="n">
        <f aca="false">H19-$C$8</f>
        <v>-4.41971978051388</v>
      </c>
      <c r="F19" s="27" t="n">
        <f aca="false">-E19</f>
        <v>4.41971978051388</v>
      </c>
      <c r="G19" s="24" t="n">
        <f aca="false">MAX(B19-$C$6,0)</f>
        <v>0</v>
      </c>
      <c r="H19" s="24" t="n">
        <f aca="false">MAX($C$6-B19,0)</f>
        <v>0</v>
      </c>
    </row>
    <row r="20" customFormat="false" ht="15" hidden="false" customHeight="false" outlineLevel="0" collapsed="false">
      <c r="B20" s="26" t="n">
        <v>105</v>
      </c>
      <c r="C20" s="27" t="n">
        <f aca="false">G20-$C$7</f>
        <v>-1.88872857768062</v>
      </c>
      <c r="D20" s="27" t="n">
        <f aca="false">-C20</f>
        <v>1.88872857768062</v>
      </c>
      <c r="E20" s="27" t="n">
        <f aca="false">H20-$C$8</f>
        <v>-4.41971978051388</v>
      </c>
      <c r="F20" s="27" t="n">
        <f aca="false">-E20</f>
        <v>4.41971978051388</v>
      </c>
      <c r="G20" s="24" t="n">
        <f aca="false">MAX(B20-$C$6,0)</f>
        <v>5</v>
      </c>
      <c r="H20" s="24" t="n">
        <f aca="false">MAX($C$6-B20,0)</f>
        <v>0</v>
      </c>
    </row>
    <row r="21" customFormat="false" ht="15" hidden="false" customHeight="false" outlineLevel="0" collapsed="false">
      <c r="B21" s="26" t="n">
        <v>110</v>
      </c>
      <c r="C21" s="27" t="n">
        <f aca="false">G21-$C$7</f>
        <v>3.11127142231938</v>
      </c>
      <c r="D21" s="27" t="n">
        <f aca="false">-C21</f>
        <v>-3.11127142231938</v>
      </c>
      <c r="E21" s="27" t="n">
        <f aca="false">H21-$C$8</f>
        <v>-4.41971978051388</v>
      </c>
      <c r="F21" s="27" t="n">
        <f aca="false">-E21</f>
        <v>4.41971978051388</v>
      </c>
      <c r="G21" s="24" t="n">
        <f aca="false">MAX(B21-$C$6,0)</f>
        <v>10</v>
      </c>
      <c r="H21" s="24" t="n">
        <f aca="false">MAX($C$6-B21,0)</f>
        <v>0</v>
      </c>
    </row>
    <row r="22" customFormat="false" ht="15" hidden="false" customHeight="false" outlineLevel="0" collapsed="false">
      <c r="B22" s="26" t="n">
        <v>115</v>
      </c>
      <c r="C22" s="27" t="n">
        <f aca="false">G22-$C$7</f>
        <v>8.11127142231938</v>
      </c>
      <c r="D22" s="27" t="n">
        <f aca="false">-C22</f>
        <v>-8.11127142231938</v>
      </c>
      <c r="E22" s="27" t="n">
        <f aca="false">H22-$C$8</f>
        <v>-4.41971978051388</v>
      </c>
      <c r="F22" s="27" t="n">
        <f aca="false">-E22</f>
        <v>4.41971978051388</v>
      </c>
      <c r="G22" s="24" t="n">
        <f aca="false">MAX(B22-$C$6,0)</f>
        <v>15</v>
      </c>
      <c r="H22" s="24" t="n">
        <f aca="false">MAX($C$6-B22,0)</f>
        <v>0</v>
      </c>
    </row>
    <row r="23" customFormat="false" ht="15" hidden="false" customHeight="false" outlineLevel="0" collapsed="false">
      <c r="B23" s="26" t="n">
        <v>120</v>
      </c>
      <c r="C23" s="27" t="n">
        <f aca="false">G23-$C$7</f>
        <v>13.1112714223194</v>
      </c>
      <c r="D23" s="27" t="n">
        <f aca="false">-C23</f>
        <v>-13.1112714223194</v>
      </c>
      <c r="E23" s="27" t="n">
        <f aca="false">H23-$C$8</f>
        <v>-4.41971978051388</v>
      </c>
      <c r="F23" s="27" t="n">
        <f aca="false">-E23</f>
        <v>4.41971978051388</v>
      </c>
      <c r="G23" s="24" t="n">
        <f aca="false">MAX(B23-$C$6,0)</f>
        <v>20</v>
      </c>
      <c r="H23" s="24" t="n">
        <f aca="false">MAX($C$6-B23,0)</f>
        <v>0</v>
      </c>
    </row>
    <row r="24" customFormat="false" ht="15" hidden="false" customHeight="false" outlineLevel="0" collapsed="false">
      <c r="B24" s="26" t="n">
        <v>125</v>
      </c>
      <c r="C24" s="27" t="n">
        <f aca="false">G24-$C$7</f>
        <v>18.1112714223194</v>
      </c>
      <c r="D24" s="27" t="n">
        <f aca="false">-C24</f>
        <v>-18.1112714223194</v>
      </c>
      <c r="E24" s="27" t="n">
        <f aca="false">H24-$C$8</f>
        <v>-4.41971978051388</v>
      </c>
      <c r="F24" s="27" t="n">
        <f aca="false">-E24</f>
        <v>4.41971978051388</v>
      </c>
      <c r="G24" s="24" t="n">
        <f aca="false">MAX(B24-$C$6,0)</f>
        <v>25</v>
      </c>
      <c r="H24" s="24" t="n">
        <f aca="false">MAX($C$6-B24,0)</f>
        <v>0</v>
      </c>
    </row>
    <row r="25" customFormat="false" ht="15" hidden="false" customHeight="false" outlineLevel="0" collapsed="false">
      <c r="B25" s="26" t="n">
        <v>130</v>
      </c>
      <c r="C25" s="27" t="n">
        <f aca="false">G25-$C$7</f>
        <v>23.1112714223194</v>
      </c>
      <c r="D25" s="27" t="n">
        <f aca="false">-C25</f>
        <v>-23.1112714223194</v>
      </c>
      <c r="E25" s="27" t="n">
        <f aca="false">H25-$C$8</f>
        <v>-4.41971978051388</v>
      </c>
      <c r="F25" s="27" t="n">
        <f aca="false">-E25</f>
        <v>4.41971978051388</v>
      </c>
      <c r="G25" s="24" t="n">
        <f aca="false">MAX(B25-$C$6,0)</f>
        <v>30</v>
      </c>
      <c r="H25" s="24" t="n">
        <f aca="false">MAX($C$6-B25,0)</f>
        <v>0</v>
      </c>
    </row>
    <row r="27" customFormat="false" ht="19.5" hidden="false" customHeight="true" outlineLevel="0" collapsed="false">
      <c r="A27" s="20" t="s">
        <v>48</v>
      </c>
      <c r="B27" s="20"/>
      <c r="C27" s="20"/>
      <c r="D27" s="20"/>
      <c r="E27" s="20"/>
      <c r="F27" s="20"/>
      <c r="G27" s="20"/>
      <c r="H27" s="20"/>
    </row>
    <row r="28" customFormat="false" ht="15" hidden="false" customHeight="false" outlineLevel="0" collapsed="false">
      <c r="B28" s="25" t="s">
        <v>49</v>
      </c>
      <c r="C28" s="25" t="s">
        <v>50</v>
      </c>
      <c r="D28" s="25" t="s">
        <v>51</v>
      </c>
      <c r="E28" s="25" t="s">
        <v>52</v>
      </c>
      <c r="F28" s="25" t="s">
        <v>53</v>
      </c>
      <c r="G28" s="25" t="s">
        <v>54</v>
      </c>
      <c r="H28" s="25" t="s">
        <v>55</v>
      </c>
    </row>
    <row r="29" customFormat="false" ht="15" hidden="false" customHeight="false" outlineLevel="0" collapsed="false">
      <c r="B29" s="26" t="n">
        <v>90</v>
      </c>
      <c r="C29" s="28" t="n">
        <f aca="false">B29*_xlfn.NORM.S.DIST((LN(B29/K_A)+(r+sigma^2/2)*T_A)/(sigma*SQRT(T_A)),TRUE())-K_A*EXP(-r*T_A)*_xlfn.NORM.S.DIST((LN(B29/K_A)+(r+sigma^2/2)*T_A)/(sigma*SQRT(T_A))-sigma*SQRT(T_A),TRUE())</f>
        <v>2.34942829541399</v>
      </c>
      <c r="D29" s="24" t="n">
        <f aca="false">MAX(B29-K_A,0)</f>
        <v>0</v>
      </c>
      <c r="E29" s="28" t="n">
        <f aca="false">C29-D29</f>
        <v>2.34942829541399</v>
      </c>
      <c r="F29" s="28" t="n">
        <f aca="false">C29-B29+K_A*EXP(-r*T_A)</f>
        <v>9.88041949824725</v>
      </c>
      <c r="G29" s="24" t="n">
        <f aca="false">MAX(K_A-B29,0)</f>
        <v>10</v>
      </c>
      <c r="H29" s="28" t="n">
        <f aca="false">F29-G29</f>
        <v>-0.11958050175275</v>
      </c>
    </row>
    <row r="30" customFormat="false" ht="15" hidden="false" customHeight="false" outlineLevel="0" collapsed="false">
      <c r="B30" s="26" t="n">
        <v>95</v>
      </c>
      <c r="C30" s="28" t="n">
        <f aca="false">B30*_xlfn.NORM.S.DIST((LN(B30/K_A)+(r+sigma^2/2)*T_A)/(sigma*SQRT(T_A)),TRUE())-K_A*EXP(-r*T_A)*_xlfn.NORM.S.DIST((LN(B30/K_A)+(r+sigma^2/2)*T_A)/(sigma*SQRT(T_A))-sigma*SQRT(T_A),TRUE())</f>
        <v>4.2545406481205</v>
      </c>
      <c r="D30" s="24" t="n">
        <f aca="false">MAX(B30-K_A,0)</f>
        <v>0</v>
      </c>
      <c r="E30" s="28" t="n">
        <f aca="false">C30-D30</f>
        <v>4.2545406481205</v>
      </c>
      <c r="F30" s="28" t="n">
        <f aca="false">C30-B30+K_A*EXP(-r*T_A)</f>
        <v>6.78553185095376</v>
      </c>
      <c r="G30" s="24" t="n">
        <f aca="false">MAX(K_A-B30,0)</f>
        <v>5</v>
      </c>
      <c r="H30" s="28" t="n">
        <f aca="false">F30-G30</f>
        <v>1.78553185095376</v>
      </c>
    </row>
    <row r="31" customFormat="false" ht="15" hidden="false" customHeight="false" outlineLevel="0" collapsed="false">
      <c r="B31" s="26" t="n">
        <v>100</v>
      </c>
      <c r="C31" s="28" t="n">
        <f aca="false">B31*_xlfn.NORM.S.DIST((LN(B31/K_A)+(r+sigma^2/2)*T_A)/(sigma*SQRT(T_A)),TRUE())-K_A*EXP(-r*T_A)*_xlfn.NORM.S.DIST((LN(B31/K_A)+(r+sigma^2/2)*T_A)/(sigma*SQRT(T_A))-sigma*SQRT(T_A),TRUE())</f>
        <v>6.88872857768062</v>
      </c>
      <c r="D31" s="24" t="n">
        <f aca="false">MAX(B31-K_A,0)</f>
        <v>0</v>
      </c>
      <c r="E31" s="28" t="n">
        <f aca="false">C31-D31</f>
        <v>6.88872857768062</v>
      </c>
      <c r="F31" s="28" t="n">
        <f aca="false">C31-B31+K_A*EXP(-r*T_A)</f>
        <v>4.41971978051389</v>
      </c>
      <c r="G31" s="24" t="n">
        <f aca="false">MAX(K_A-B31,0)</f>
        <v>0</v>
      </c>
      <c r="H31" s="28" t="n">
        <f aca="false">F31-G31</f>
        <v>4.41971978051389</v>
      </c>
    </row>
    <row r="32" customFormat="false" ht="15" hidden="false" customHeight="false" outlineLevel="0" collapsed="false">
      <c r="B32" s="26" t="n">
        <v>105</v>
      </c>
      <c r="C32" s="28" t="n">
        <f aca="false">B32*_xlfn.NORM.S.DIST((LN(B32/K_A)+(r+sigma^2/2)*T_A)/(sigma*SQRT(T_A)),TRUE())-K_A*EXP(-r*T_A)*_xlfn.NORM.S.DIST((LN(B32/K_A)+(r+sigma^2/2)*T_A)/(sigma*SQRT(T_A))-sigma*SQRT(T_A),TRUE())</f>
        <v>10.2012576708273</v>
      </c>
      <c r="D32" s="24" t="n">
        <f aca="false">MAX(B32-K_A,0)</f>
        <v>5</v>
      </c>
      <c r="E32" s="28" t="n">
        <f aca="false">C32-D32</f>
        <v>5.20125767082733</v>
      </c>
      <c r="F32" s="28" t="n">
        <f aca="false">C32-B32+K_A*EXP(-r*T_A)</f>
        <v>2.73224887366059</v>
      </c>
      <c r="G32" s="24" t="n">
        <f aca="false">MAX(K_A-B32,0)</f>
        <v>0</v>
      </c>
      <c r="H32" s="28" t="n">
        <f aca="false">F32-G32</f>
        <v>2.73224887366059</v>
      </c>
    </row>
    <row r="33" customFormat="false" ht="15" hidden="false" customHeight="false" outlineLevel="0" collapsed="false">
      <c r="B33" s="26" t="n">
        <v>110</v>
      </c>
      <c r="C33" s="28" t="n">
        <f aca="false">B33*_xlfn.NORM.S.DIST((LN(B33/K_A)+(r+sigma^2/2)*T_A)/(sigma*SQRT(T_A)),TRUE())-K_A*EXP(-r*T_A)*_xlfn.NORM.S.DIST((LN(B33/K_A)+(r+sigma^2/2)*T_A)/(sigma*SQRT(T_A))-sigma*SQRT(T_A),TRUE())</f>
        <v>14.0753840363817</v>
      </c>
      <c r="D33" s="24" t="n">
        <f aca="false">MAX(B33-K_A,0)</f>
        <v>10</v>
      </c>
      <c r="E33" s="28" t="n">
        <f aca="false">C33-D33</f>
        <v>4.07538403638169</v>
      </c>
      <c r="F33" s="28" t="n">
        <f aca="false">C33-B33+K_A*EXP(-r*T_A)</f>
        <v>1.60637523921496</v>
      </c>
      <c r="G33" s="24" t="n">
        <f aca="false">MAX(K_A-B33,0)</f>
        <v>0</v>
      </c>
      <c r="H33" s="28" t="n">
        <f aca="false">F33-G33</f>
        <v>1.60637523921496</v>
      </c>
    </row>
    <row r="34" customFormat="false" ht="30" hidden="false" customHeight="true" outlineLevel="0" collapsed="false">
      <c r="A34" s="19" t="s">
        <v>56</v>
      </c>
      <c r="B34" s="19"/>
      <c r="C34" s="19"/>
      <c r="D34" s="19"/>
      <c r="E34" s="19"/>
      <c r="F34" s="19"/>
      <c r="G34" s="19"/>
      <c r="H34" s="19"/>
    </row>
    <row r="36" customFormat="false" ht="19.5" hidden="false" customHeight="true" outlineLevel="0" collapsed="false">
      <c r="A36" s="20" t="s">
        <v>57</v>
      </c>
      <c r="B36" s="20"/>
      <c r="C36" s="20"/>
      <c r="D36" s="20"/>
      <c r="E36" s="20"/>
      <c r="F36" s="20"/>
      <c r="G36" s="20"/>
      <c r="H36" s="20"/>
    </row>
    <row r="37" customFormat="false" ht="15" hidden="false" customHeight="false" outlineLevel="0" collapsed="false">
      <c r="B37" s="25" t="s">
        <v>58</v>
      </c>
      <c r="C37" s="25" t="s">
        <v>59</v>
      </c>
      <c r="D37" s="25" t="s">
        <v>60</v>
      </c>
      <c r="E37" s="25" t="s">
        <v>61</v>
      </c>
    </row>
    <row r="38" customFormat="false" ht="15" hidden="false" customHeight="false" outlineLevel="0" collapsed="false">
      <c r="B38" s="17" t="s">
        <v>62</v>
      </c>
      <c r="C38" s="17" t="s">
        <v>63</v>
      </c>
      <c r="D38" s="17" t="s">
        <v>64</v>
      </c>
      <c r="E38" s="17" t="s">
        <v>65</v>
      </c>
    </row>
    <row r="39" customFormat="false" ht="15" hidden="false" customHeight="false" outlineLevel="0" collapsed="false">
      <c r="B39" s="17" t="s">
        <v>66</v>
      </c>
      <c r="C39" s="17" t="s">
        <v>64</v>
      </c>
      <c r="D39" s="17" t="s">
        <v>63</v>
      </c>
      <c r="E39" s="17" t="s">
        <v>67</v>
      </c>
    </row>
    <row r="40" customFormat="false" ht="15" hidden="false" customHeight="false" outlineLevel="0" collapsed="false">
      <c r="B40" s="17" t="s">
        <v>68</v>
      </c>
      <c r="C40" s="17" t="s">
        <v>63</v>
      </c>
      <c r="D40" s="17" t="s">
        <v>69</v>
      </c>
      <c r="E40" s="17" t="s">
        <v>70</v>
      </c>
    </row>
    <row r="41" customFormat="false" ht="15" hidden="false" customHeight="false" outlineLevel="0" collapsed="false">
      <c r="B41" s="17" t="s">
        <v>71</v>
      </c>
      <c r="C41" s="17" t="s">
        <v>63</v>
      </c>
      <c r="D41" s="17" t="s">
        <v>63</v>
      </c>
      <c r="E41" s="17" t="s">
        <v>72</v>
      </c>
    </row>
    <row r="42" customFormat="false" ht="15" hidden="false" customHeight="false" outlineLevel="0" collapsed="false">
      <c r="B42" s="17" t="s">
        <v>73</v>
      </c>
      <c r="C42" s="17" t="s">
        <v>63</v>
      </c>
      <c r="D42" s="17" t="s">
        <v>64</v>
      </c>
      <c r="E42" s="17" t="s">
        <v>74</v>
      </c>
    </row>
  </sheetData>
  <mergeCells count="6">
    <mergeCell ref="A1:H1"/>
    <mergeCell ref="A2:H2"/>
    <mergeCell ref="A5:H5"/>
    <mergeCell ref="A27:H27"/>
    <mergeCell ref="A34:H34"/>
    <mergeCell ref="A36:H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fals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5" min="3" style="0" width="14"/>
    <col collapsed="false" customWidth="true" hidden="false" outlineLevel="0" max="6" min="6" style="0" width="58"/>
    <col collapsed="false" customWidth="true" hidden="false" outlineLevel="0" max="8" min="7" style="0" width="4"/>
  </cols>
  <sheetData>
    <row r="1" customFormat="false" ht="27.75" hidden="false" customHeight="true" outlineLevel="0" collapsed="false">
      <c r="A1" s="1" t="s">
        <v>75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76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20" t="s">
        <v>77</v>
      </c>
      <c r="B5" s="20"/>
      <c r="C5" s="20"/>
      <c r="D5" s="20"/>
      <c r="E5" s="20"/>
      <c r="F5" s="20"/>
      <c r="G5" s="20"/>
      <c r="H5" s="20"/>
    </row>
    <row r="6" customFormat="false" ht="15" hidden="false" customHeight="false" outlineLevel="0" collapsed="false">
      <c r="B6" s="21" t="s">
        <v>78</v>
      </c>
      <c r="C6" s="29" t="n">
        <v>100</v>
      </c>
      <c r="F6" s="30" t="s">
        <v>79</v>
      </c>
    </row>
    <row r="7" customFormat="false" ht="15" hidden="false" customHeight="false" outlineLevel="0" collapsed="false">
      <c r="B7" s="21" t="s">
        <v>80</v>
      </c>
      <c r="C7" s="31" t="n">
        <v>0.05</v>
      </c>
      <c r="F7" s="30" t="s">
        <v>81</v>
      </c>
    </row>
    <row r="8" customFormat="false" ht="15" hidden="false" customHeight="false" outlineLevel="0" collapsed="false">
      <c r="B8" s="21" t="s">
        <v>82</v>
      </c>
      <c r="C8" s="31" t="n">
        <v>0.2</v>
      </c>
      <c r="F8" s="30" t="s">
        <v>83</v>
      </c>
    </row>
    <row r="9" customFormat="false" ht="15" hidden="false" customHeight="false" outlineLevel="0" collapsed="false">
      <c r="B9" s="21" t="s">
        <v>84</v>
      </c>
      <c r="C9" s="32" t="n">
        <v>1000</v>
      </c>
      <c r="F9" s="30" t="s">
        <v>85</v>
      </c>
    </row>
    <row r="11" customFormat="false" ht="19.5" hidden="false" customHeight="true" outlineLevel="0" collapsed="false">
      <c r="A11" s="20" t="s">
        <v>86</v>
      </c>
      <c r="B11" s="20"/>
      <c r="C11" s="20"/>
      <c r="D11" s="20"/>
      <c r="E11" s="20"/>
      <c r="F11" s="20"/>
      <c r="G11" s="20"/>
      <c r="H11" s="20"/>
    </row>
    <row r="12" customFormat="false" ht="15" hidden="false" customHeight="false" outlineLevel="0" collapsed="false">
      <c r="B12" s="25" t="s">
        <v>87</v>
      </c>
      <c r="C12" s="25" t="s">
        <v>88</v>
      </c>
      <c r="D12" s="25" t="s">
        <v>89</v>
      </c>
      <c r="E12" s="25" t="s">
        <v>90</v>
      </c>
      <c r="F12" s="25" t="s">
        <v>91</v>
      </c>
    </row>
    <row r="13" customFormat="false" ht="15" hidden="false" customHeight="false" outlineLevel="0" collapsed="false">
      <c r="B13" s="21" t="s">
        <v>92</v>
      </c>
      <c r="C13" s="17" t="s">
        <v>93</v>
      </c>
      <c r="D13" s="17" t="s">
        <v>94</v>
      </c>
      <c r="E13" s="17" t="s">
        <v>95</v>
      </c>
    </row>
    <row r="14" customFormat="false" ht="15" hidden="false" customHeight="false" outlineLevel="0" collapsed="false">
      <c r="B14" s="21" t="s">
        <v>36</v>
      </c>
      <c r="C14" s="29" t="n">
        <v>100</v>
      </c>
      <c r="D14" s="29" t="n">
        <v>105</v>
      </c>
      <c r="E14" s="29" t="n">
        <v>95</v>
      </c>
    </row>
    <row r="15" customFormat="false" ht="15" hidden="false" customHeight="false" outlineLevel="0" collapsed="false">
      <c r="B15" s="21" t="s">
        <v>96</v>
      </c>
      <c r="C15" s="29" t="n">
        <v>0.5</v>
      </c>
      <c r="D15" s="29" t="n">
        <v>0.25</v>
      </c>
      <c r="E15" s="29" t="n">
        <v>1</v>
      </c>
    </row>
    <row r="16" customFormat="false" ht="15" hidden="false" customHeight="false" outlineLevel="0" collapsed="false">
      <c r="B16" s="21" t="s">
        <v>97</v>
      </c>
      <c r="C16" s="28" t="n">
        <f aca="false">(LN(S0/C14)+(r+sigma^2/2)*C15)/(sigma*SQRT(C15))</f>
        <v>0.247487373415292</v>
      </c>
      <c r="D16" s="28" t="n">
        <f aca="false">(LN(S0/D14)+(r+sigma^2/2)*D15)/(sigma*SQRT(D15))</f>
        <v>-0.312901641694321</v>
      </c>
      <c r="E16" s="28" t="n">
        <f aca="false">(LN(S0/E14)+(r+sigma^2/2)*E15)/(sigma*SQRT(E15))</f>
        <v>0.606466471937752</v>
      </c>
      <c r="F16" s="33" t="s">
        <v>98</v>
      </c>
    </row>
    <row r="17" customFormat="false" ht="15" hidden="false" customHeight="false" outlineLevel="0" collapsed="false">
      <c r="B17" s="21" t="s">
        <v>99</v>
      </c>
      <c r="C17" s="28" t="n">
        <f aca="false">C16-sigma*SQRT(C15)</f>
        <v>0.106066017177982</v>
      </c>
      <c r="D17" s="28" t="n">
        <f aca="false">D16-sigma*SQRT(D15)</f>
        <v>-0.412901641694321</v>
      </c>
      <c r="E17" s="28" t="n">
        <f aca="false">E16-sigma*SQRT(E15)</f>
        <v>0.406466471937752</v>
      </c>
      <c r="F17" s="33" t="s">
        <v>100</v>
      </c>
    </row>
    <row r="18" customFormat="false" ht="15" hidden="false" customHeight="false" outlineLevel="0" collapsed="false">
      <c r="B18" s="21" t="s">
        <v>101</v>
      </c>
      <c r="C18" s="28" t="n">
        <f aca="false">_xlfn.NORM.S.DIST(C16,TRUE())</f>
        <v>0.597734468908438</v>
      </c>
      <c r="D18" s="28" t="n">
        <f aca="false">_xlfn.NORM.S.DIST(D16,TRUE())</f>
        <v>0.377177695137538</v>
      </c>
      <c r="E18" s="28" t="n">
        <f aca="false">_xlfn.NORM.S.DIST(E16,TRUE())</f>
        <v>0.727897480059039</v>
      </c>
      <c r="F18" s="33" t="s">
        <v>102</v>
      </c>
    </row>
    <row r="19" customFormat="false" ht="15" hidden="false" customHeight="false" outlineLevel="0" collapsed="false">
      <c r="B19" s="21" t="s">
        <v>103</v>
      </c>
      <c r="C19" s="28" t="n">
        <f aca="false">_xlfn.NORM.S.DIST(C17,TRUE())</f>
        <v>0.542235013311614</v>
      </c>
      <c r="D19" s="28" t="n">
        <f aca="false">_xlfn.NORM.S.DIST(D17,TRUE())</f>
        <v>0.339839339115092</v>
      </c>
      <c r="E19" s="28" t="n">
        <f aca="false">_xlfn.NORM.S.DIST(E17,TRUE())</f>
        <v>0.657800056365285</v>
      </c>
      <c r="F19" s="33" t="s">
        <v>104</v>
      </c>
    </row>
    <row r="20" customFormat="false" ht="15" hidden="false" customHeight="false" outlineLevel="0" collapsed="false">
      <c r="B20" s="21" t="s">
        <v>105</v>
      </c>
      <c r="C20" s="34" t="n">
        <f aca="false">_xlfn.NORM.S.DIST(C16,FALSE())</f>
        <v>0.386909859912704</v>
      </c>
      <c r="D20" s="34" t="n">
        <f aca="false">_xlfn.NORM.S.DIST(D16,FALSE())</f>
        <v>0.379882892309145</v>
      </c>
      <c r="E20" s="34" t="n">
        <f aca="false">_xlfn.NORM.S.DIST(E16,FALSE())</f>
        <v>0.331927295336754</v>
      </c>
      <c r="F20" s="33" t="s">
        <v>106</v>
      </c>
    </row>
    <row r="21" customFormat="false" ht="15" hidden="false" customHeight="false" outlineLevel="0" collapsed="false">
      <c r="B21" s="21" t="s">
        <v>107</v>
      </c>
      <c r="C21" s="28" t="n">
        <f aca="false">S0*C18-C14*EXP(-r*C15)*C19</f>
        <v>6.88872857768062</v>
      </c>
      <c r="D21" s="28" t="n">
        <f aca="false">S0*D18-D14*EXP(-r*D15)*D19</f>
        <v>2.47790187407325</v>
      </c>
      <c r="E21" s="28" t="n">
        <f aca="false">S0*E18-E14*EXP(-r*E15)*E19</f>
        <v>13.3464649458796</v>
      </c>
      <c r="F21" s="33" t="s">
        <v>108</v>
      </c>
    </row>
    <row r="22" customFormat="false" ht="15" hidden="false" customHeight="false" outlineLevel="0" collapsed="false">
      <c r="B22" s="21" t="s">
        <v>109</v>
      </c>
      <c r="C22" s="28" t="n">
        <f aca="false">C14*EXP(-r*C15)*_xlfn.NORM.S.DIST(-C17,TRUE())-S0*_xlfn.NORM.S.DIST(-C16,TRUE())</f>
        <v>4.41971978051388</v>
      </c>
      <c r="D22" s="28" t="n">
        <f aca="false">D14*EXP(-r*D15)*_xlfn.NORM.S.DIST(-D17,TRUE())-S0*_xlfn.NORM.S.DIST(-D16,TRUE())</f>
        <v>6.17357092593081</v>
      </c>
      <c r="E22" s="28" t="n">
        <f aca="false">E14*EXP(-r*E15)*_xlfn.NORM.S.DIST(-E17,TRUE())-S0*_xlfn.NORM.S.DIST(-E16,TRUE())</f>
        <v>3.71326027344741</v>
      </c>
      <c r="F22" s="33" t="s">
        <v>110</v>
      </c>
    </row>
    <row r="23" customFormat="false" ht="15" hidden="false" customHeight="false" outlineLevel="0" collapsed="false">
      <c r="B23" s="35" t="s">
        <v>111</v>
      </c>
      <c r="C23" s="28" t="n">
        <f aca="false">C18</f>
        <v>0.597734468908438</v>
      </c>
      <c r="D23" s="28" t="n">
        <f aca="false">D18</f>
        <v>0.377177695137538</v>
      </c>
      <c r="E23" s="28" t="n">
        <f aca="false">E18</f>
        <v>0.727897480059039</v>
      </c>
      <c r="F23" s="33" t="s">
        <v>112</v>
      </c>
    </row>
    <row r="24" customFormat="false" ht="15" hidden="false" customHeight="false" outlineLevel="0" collapsed="false">
      <c r="B24" s="35" t="s">
        <v>113</v>
      </c>
      <c r="C24" s="28" t="n">
        <f aca="false">C18-1</f>
        <v>-0.402265531091562</v>
      </c>
      <c r="D24" s="28" t="n">
        <f aca="false">D18-1</f>
        <v>-0.622822304862462</v>
      </c>
      <c r="E24" s="28" t="n">
        <f aca="false">E18-1</f>
        <v>-0.272102519940961</v>
      </c>
      <c r="F24" s="33" t="s">
        <v>114</v>
      </c>
    </row>
    <row r="25" customFormat="false" ht="15" hidden="false" customHeight="false" outlineLevel="0" collapsed="false">
      <c r="B25" s="35" t="s">
        <v>115</v>
      </c>
      <c r="C25" s="34" t="n">
        <f aca="false">C20/(S0*sigma*SQRT(C15))</f>
        <v>0.027358658565221</v>
      </c>
      <c r="D25" s="34" t="n">
        <f aca="false">D20/(S0*sigma*SQRT(D15))</f>
        <v>0.0379882892309145</v>
      </c>
      <c r="E25" s="34" t="n">
        <f aca="false">E20/(S0*sigma*SQRT(E15))</f>
        <v>0.0165963647668377</v>
      </c>
      <c r="F25" s="33" t="s">
        <v>116</v>
      </c>
    </row>
    <row r="26" customFormat="false" ht="15" hidden="false" customHeight="false" outlineLevel="0" collapsed="false">
      <c r="B26" s="21" t="s">
        <v>117</v>
      </c>
      <c r="C26" s="28" t="n">
        <f aca="false">S0*SQRT(C15)*C20</f>
        <v>27.358658565221</v>
      </c>
      <c r="D26" s="28" t="n">
        <f aca="false">S0*SQRT(D15)*D20</f>
        <v>18.9941446154573</v>
      </c>
      <c r="E26" s="28" t="n">
        <f aca="false">S0*SQRT(E15)*E20</f>
        <v>33.1927295336754</v>
      </c>
      <c r="F26" s="33" t="s">
        <v>118</v>
      </c>
    </row>
    <row r="27" customFormat="false" ht="15" hidden="false" customHeight="false" outlineLevel="0" collapsed="false">
      <c r="B27" s="35" t="s">
        <v>119</v>
      </c>
      <c r="C27" s="28" t="n">
        <f aca="false">C26/100</f>
        <v>0.27358658565221</v>
      </c>
      <c r="D27" s="28" t="n">
        <f aca="false">D26/100</f>
        <v>0.189941446154573</v>
      </c>
      <c r="E27" s="28" t="n">
        <f aca="false">E26/100</f>
        <v>0.331927295336754</v>
      </c>
      <c r="F27" s="33" t="s">
        <v>120</v>
      </c>
    </row>
    <row r="28" customFormat="false" ht="15" hidden="false" customHeight="false" outlineLevel="0" collapsed="false">
      <c r="B28" s="21" t="s">
        <v>121</v>
      </c>
      <c r="C28" s="28" t="n">
        <f aca="false">-S0*C20*sigma/(2*SQRT(C15))-r*C14*EXP(-r*C15)*C19</f>
        <v>-8.11596762870236</v>
      </c>
      <c r="D28" s="28" t="n">
        <f aca="false">-S0*D20*sigma/(2*SQRT(D15))-r*D14*EXP(-r*D15)*D19</f>
        <v>-9.35965122816694</v>
      </c>
      <c r="E28" s="28" t="n">
        <f aca="false">-S0*E20*sigma/(2*SQRT(E15))-r*E14*EXP(-r*E15)*E19</f>
        <v>-6.29143710636875</v>
      </c>
      <c r="F28" s="33" t="s">
        <v>122</v>
      </c>
    </row>
    <row r="29" customFormat="false" ht="15" hidden="false" customHeight="false" outlineLevel="0" collapsed="false">
      <c r="B29" s="21" t="s">
        <v>123</v>
      </c>
      <c r="C29" s="28" t="n">
        <f aca="false">C28/365</f>
        <v>-0.0222355277498695</v>
      </c>
      <c r="D29" s="28" t="n">
        <f aca="false">D28/365</f>
        <v>-0.0256428800771697</v>
      </c>
      <c r="E29" s="28" t="n">
        <f aca="false">E28/365</f>
        <v>-0.0172368139900514</v>
      </c>
      <c r="F29" s="33" t="s">
        <v>124</v>
      </c>
    </row>
    <row r="30" customFormat="false" ht="15" hidden="false" customHeight="false" outlineLevel="0" collapsed="false">
      <c r="B30" s="21" t="s">
        <v>125</v>
      </c>
      <c r="C30" s="28" t="n">
        <f aca="false">C14*C15*EXP(-r*C15)*C19</f>
        <v>26.4423591565816</v>
      </c>
      <c r="D30" s="28" t="n">
        <f aca="false">D14*D15*EXP(-r*D15)*D19</f>
        <v>8.80996690992014</v>
      </c>
      <c r="E30" s="28" t="n">
        <f aca="false">E14*E15*EXP(-r*E15)*E19</f>
        <v>59.4432830600243</v>
      </c>
      <c r="F30" s="33" t="s">
        <v>126</v>
      </c>
    </row>
    <row r="31" customFormat="false" ht="15" hidden="false" customHeight="false" outlineLevel="0" collapsed="false">
      <c r="B31" s="21" t="s">
        <v>127</v>
      </c>
      <c r="C31" s="28" t="n">
        <f aca="false">C30/100</f>
        <v>0.264423591565816</v>
      </c>
      <c r="D31" s="28" t="n">
        <f aca="false">D30/100</f>
        <v>0.0880996690992014</v>
      </c>
      <c r="E31" s="28" t="n">
        <f aca="false">E30/100</f>
        <v>0.594432830600243</v>
      </c>
      <c r="F31" s="33" t="s">
        <v>128</v>
      </c>
    </row>
    <row r="33" customFormat="false" ht="15" hidden="false" customHeight="true" outlineLevel="0" collapsed="false">
      <c r="A33" s="19" t="s">
        <v>129</v>
      </c>
      <c r="B33" s="19"/>
      <c r="C33" s="19"/>
      <c r="D33" s="28" t="n">
        <f aca="false">C21-C22</f>
        <v>2.46900879716674</v>
      </c>
      <c r="E33" s="28" t="n">
        <f aca="false">S0-C14*EXP(-r*C15)</f>
        <v>2.46900879716674</v>
      </c>
    </row>
  </sheetData>
  <mergeCells count="5">
    <mergeCell ref="A1:H1"/>
    <mergeCell ref="A2:H2"/>
    <mergeCell ref="A5:H5"/>
    <mergeCell ref="A11:H11"/>
    <mergeCell ref="A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4B6E"/>
    <pageSetUpPr fitToPage="fals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30"/>
    <col collapsed="false" customWidth="true" hidden="false" outlineLevel="0" max="8" min="7" style="0" width="13"/>
  </cols>
  <sheetData>
    <row r="1" customFormat="false" ht="27.75" hidden="false" customHeight="true" outlineLevel="0" collapsed="false">
      <c r="A1" s="36" t="s">
        <v>130</v>
      </c>
      <c r="B1" s="36"/>
      <c r="C1" s="36"/>
      <c r="D1" s="36"/>
      <c r="E1" s="36"/>
      <c r="F1" s="36"/>
      <c r="G1" s="36"/>
      <c r="H1" s="36"/>
    </row>
    <row r="2" customFormat="false" ht="15" hidden="false" customHeight="false" outlineLevel="0" collapsed="false">
      <c r="A2" s="2" t="s">
        <v>131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37" t="s">
        <v>132</v>
      </c>
      <c r="B5" s="37"/>
      <c r="C5" s="37"/>
      <c r="D5" s="37"/>
      <c r="E5" s="37"/>
      <c r="F5" s="37"/>
      <c r="G5" s="37"/>
      <c r="H5" s="37"/>
    </row>
    <row r="6" customFormat="false" ht="15" hidden="false" customHeight="false" outlineLevel="0" collapsed="false">
      <c r="A6" s="38"/>
      <c r="B6" s="21" t="s">
        <v>133</v>
      </c>
      <c r="C6" s="28" t="n">
        <f aca="false">LN(S0/K_A)</f>
        <v>0</v>
      </c>
    </row>
    <row r="7" customFormat="false" ht="15" hidden="false" customHeight="false" outlineLevel="0" collapsed="false">
      <c r="B7" s="21" t="s">
        <v>134</v>
      </c>
      <c r="C7" s="28" t="n">
        <f aca="false">(r+sigma^2/2)*T_A</f>
        <v>0.035</v>
      </c>
    </row>
    <row r="8" customFormat="false" ht="15" hidden="false" customHeight="false" outlineLevel="0" collapsed="false">
      <c r="B8" s="21" t="s">
        <v>135</v>
      </c>
      <c r="C8" s="34" t="n">
        <f aca="false">sigma*SQRT(T_A)</f>
        <v>0.14142135623731</v>
      </c>
    </row>
    <row r="9" customFormat="false" ht="15" hidden="false" customHeight="false" outlineLevel="0" collapsed="false">
      <c r="B9" s="21" t="s">
        <v>97</v>
      </c>
      <c r="C9" s="28" t="n">
        <f aca="false">(C6+C7)/C8</f>
        <v>0.247487373415292</v>
      </c>
    </row>
    <row r="10" customFormat="false" ht="15" hidden="false" customHeight="false" outlineLevel="0" collapsed="false">
      <c r="B10" s="35" t="s">
        <v>136</v>
      </c>
      <c r="C10" s="39" t="n">
        <f aca="false">_xlfn.NORM.S.DIST(C9,TRUE())</f>
        <v>0.597734468908438</v>
      </c>
      <c r="D10" s="40" t="s">
        <v>137</v>
      </c>
    </row>
    <row r="11" customFormat="false" ht="15" hidden="false" customHeight="false" outlineLevel="0" collapsed="false">
      <c r="B11" s="35" t="s">
        <v>138</v>
      </c>
      <c r="C11" s="39" t="n">
        <f aca="false">C10-1</f>
        <v>-0.402265531091562</v>
      </c>
    </row>
    <row r="12" customFormat="false" ht="15" hidden="false" customHeight="false" outlineLevel="0" collapsed="false">
      <c r="B12" s="21" t="s">
        <v>139</v>
      </c>
      <c r="C12" s="28" t="n">
        <f aca="false">C10-C11</f>
        <v>1</v>
      </c>
      <c r="D12" s="40" t="s">
        <v>140</v>
      </c>
    </row>
    <row r="14" customFormat="false" ht="19.5" hidden="false" customHeight="true" outlineLevel="0" collapsed="false">
      <c r="A14" s="37" t="s">
        <v>141</v>
      </c>
      <c r="B14" s="37"/>
      <c r="C14" s="37"/>
      <c r="D14" s="37"/>
      <c r="E14" s="37"/>
      <c r="F14" s="37"/>
      <c r="G14" s="37"/>
      <c r="H14" s="37"/>
    </row>
    <row r="15" customFormat="false" ht="15" hidden="false" customHeight="false" outlineLevel="0" collapsed="false">
      <c r="B15" s="41" t="s">
        <v>142</v>
      </c>
      <c r="C15" s="41" t="s">
        <v>143</v>
      </c>
      <c r="D15" s="41" t="s">
        <v>144</v>
      </c>
      <c r="E15" s="41" t="s">
        <v>145</v>
      </c>
      <c r="F15" s="41" t="s">
        <v>146</v>
      </c>
    </row>
    <row r="16" customFormat="false" ht="15" hidden="false" customHeight="false" outlineLevel="0" collapsed="false">
      <c r="B16" s="21" t="s">
        <v>147</v>
      </c>
      <c r="C16" s="32" t="n">
        <v>1000</v>
      </c>
      <c r="D16" s="23" t="n">
        <f aca="false">Delta_A</f>
        <v>0.597734468908438</v>
      </c>
      <c r="E16" s="27" t="n">
        <f aca="false">C16*D16</f>
        <v>597.734468908438</v>
      </c>
      <c r="F16" s="42" t="str">
        <f aca="false">IF(E16&gt;0,"Bullish: gains if S rises",IF(E16&lt;0,"Bearish: gains if S falls","Neutral"))</f>
        <v>Bullish: gains if S rises</v>
      </c>
    </row>
    <row r="17" customFormat="false" ht="15" hidden="false" customHeight="false" outlineLevel="0" collapsed="false">
      <c r="B17" s="21" t="s">
        <v>148</v>
      </c>
      <c r="C17" s="32" t="n">
        <v>-1000</v>
      </c>
      <c r="D17" s="23" t="n">
        <f aca="false">Delta_A</f>
        <v>0.597734468908438</v>
      </c>
      <c r="E17" s="27" t="n">
        <f aca="false">C17*D17</f>
        <v>-597.734468908438</v>
      </c>
      <c r="F17" s="42" t="str">
        <f aca="false">IF(E17&gt;0,"Bullish: gains if S rises",IF(E17&lt;0,"Bearish: gains if S falls","Neutral"))</f>
        <v>Bearish: gains if S falls</v>
      </c>
    </row>
    <row r="18" customFormat="false" ht="15" hidden="false" customHeight="false" outlineLevel="0" collapsed="false">
      <c r="B18" s="21" t="s">
        <v>149</v>
      </c>
      <c r="C18" s="32" t="n">
        <v>1000</v>
      </c>
      <c r="D18" s="23" t="n">
        <f aca="false">Delta_A-1</f>
        <v>-0.402265531091562</v>
      </c>
      <c r="E18" s="27" t="n">
        <f aca="false">C18*D18</f>
        <v>-402.265531091562</v>
      </c>
      <c r="F18" s="42" t="str">
        <f aca="false">IF(E18&gt;0,"Bullish: gains if S rises",IF(E18&lt;0,"Bearish: gains if S falls","Neutral"))</f>
        <v>Bearish: gains if S falls</v>
      </c>
    </row>
    <row r="19" customFormat="false" ht="15" hidden="false" customHeight="false" outlineLevel="0" collapsed="false">
      <c r="B19" s="21" t="s">
        <v>150</v>
      </c>
      <c r="C19" s="32" t="n">
        <v>-1000</v>
      </c>
      <c r="D19" s="23" t="n">
        <f aca="false">Delta_A-1</f>
        <v>-0.402265531091562</v>
      </c>
      <c r="E19" s="27" t="n">
        <f aca="false">C19*D19</f>
        <v>402.265531091562</v>
      </c>
      <c r="F19" s="42" t="str">
        <f aca="false">IF(E19&gt;0,"Bullish: gains if S rises",IF(E19&lt;0,"Bearish: gains if S falls","Neutral"))</f>
        <v>Bullish: gains if S rises</v>
      </c>
    </row>
    <row r="20" customFormat="false" ht="15" hidden="false" customHeight="false" outlineLevel="0" collapsed="false">
      <c r="B20" s="21" t="s">
        <v>151</v>
      </c>
      <c r="C20" s="32" t="n">
        <v>1000</v>
      </c>
      <c r="D20" s="43" t="n">
        <v>1</v>
      </c>
      <c r="E20" s="27" t="n">
        <f aca="false">C20*D20</f>
        <v>1000</v>
      </c>
      <c r="F20" s="42" t="str">
        <f aca="false">IF(E20&gt;0,"Bullish: gains if S rises",IF(E20&lt;0,"Bearish: gains if S falls","Neutral"))</f>
        <v>Bullish: gains if S rises</v>
      </c>
    </row>
    <row r="21" customFormat="false" ht="15" hidden="false" customHeight="false" outlineLevel="0" collapsed="false">
      <c r="B21" s="21" t="s">
        <v>152</v>
      </c>
      <c r="C21" s="32" t="n">
        <v>-1000</v>
      </c>
      <c r="D21" s="43" t="n">
        <v>1</v>
      </c>
      <c r="E21" s="27" t="n">
        <f aca="false">C21*D21</f>
        <v>-1000</v>
      </c>
      <c r="F21" s="42" t="str">
        <f aca="false">IF(E21&gt;0,"Bullish: gains if S rises",IF(E21&lt;0,"Bearish: gains if S falls","Neutral"))</f>
        <v>Bearish: gains if S falls</v>
      </c>
    </row>
    <row r="23" customFormat="false" ht="19.5" hidden="false" customHeight="true" outlineLevel="0" collapsed="false">
      <c r="A23" s="4" t="s">
        <v>153</v>
      </c>
      <c r="B23" s="4"/>
      <c r="C23" s="4"/>
      <c r="D23" s="4"/>
      <c r="E23" s="4"/>
      <c r="F23" s="4"/>
      <c r="G23" s="4"/>
      <c r="H23" s="4"/>
    </row>
    <row r="24" customFormat="false" ht="15" hidden="false" customHeight="false" outlineLevel="0" collapsed="false">
      <c r="B24" s="21" t="s">
        <v>154</v>
      </c>
      <c r="C24" s="44" t="n">
        <f aca="false">E16+E18</f>
        <v>195.468937816877</v>
      </c>
    </row>
    <row r="25" customFormat="false" ht="18" hidden="false" customHeight="true" outlineLevel="0" collapsed="false">
      <c r="A25" s="45" t="s">
        <v>155</v>
      </c>
      <c r="B25" s="45"/>
      <c r="C25" s="45"/>
      <c r="D25" s="45"/>
      <c r="E25" s="45"/>
      <c r="F25" s="45"/>
      <c r="G25" s="45"/>
      <c r="H25" s="45"/>
    </row>
    <row r="27" customFormat="false" ht="19.5" hidden="false" customHeight="true" outlineLevel="0" collapsed="false">
      <c r="A27" s="37" t="s">
        <v>156</v>
      </c>
      <c r="B27" s="37"/>
      <c r="C27" s="37"/>
      <c r="D27" s="37"/>
      <c r="E27" s="37"/>
      <c r="F27" s="37"/>
      <c r="G27" s="37"/>
      <c r="H27" s="37"/>
    </row>
    <row r="28" customFormat="false" ht="23.85" hidden="false" customHeight="false" outlineLevel="0" collapsed="false">
      <c r="B28" s="41" t="s">
        <v>157</v>
      </c>
      <c r="C28" s="41" t="s">
        <v>158</v>
      </c>
      <c r="D28" s="41" t="s">
        <v>159</v>
      </c>
    </row>
    <row r="29" customFormat="false" ht="15" hidden="false" customHeight="false" outlineLevel="0" collapsed="false">
      <c r="B29" s="26" t="n">
        <v>60</v>
      </c>
      <c r="C29" s="28" t="n">
        <f aca="false">_xlfn.NORM.S.DIST((LN(B29/K_A)+(r+sigma^2/2)*T_A)/(sigma*SQRT(T_A)),TRUE())</f>
        <v>0.000383280097107272</v>
      </c>
      <c r="D29" s="28" t="n">
        <f aca="false">C29-1</f>
        <v>-0.999616719902893</v>
      </c>
    </row>
    <row r="30" customFormat="false" ht="15" hidden="false" customHeight="false" outlineLevel="0" collapsed="false">
      <c r="B30" s="26" t="n">
        <v>65</v>
      </c>
      <c r="C30" s="28" t="n">
        <f aca="false">_xlfn.NORM.S.DIST((LN(B30/K_A)+(r+sigma^2/2)*T_A)/(sigma*SQRT(T_A)),TRUE())</f>
        <v>0.00256617141946087</v>
      </c>
      <c r="D30" s="28" t="n">
        <f aca="false">C30-1</f>
        <v>-0.997433828580539</v>
      </c>
    </row>
    <row r="31" customFormat="false" ht="15" hidden="false" customHeight="false" outlineLevel="0" collapsed="false">
      <c r="B31" s="26" t="n">
        <v>70</v>
      </c>
      <c r="C31" s="28" t="n">
        <f aca="false">_xlfn.NORM.S.DIST((LN(B31/K_A)+(r+sigma^2/2)*T_A)/(sigma*SQRT(T_A)),TRUE())</f>
        <v>0.0114654081225744</v>
      </c>
      <c r="D31" s="28" t="n">
        <f aca="false">C31-1</f>
        <v>-0.988534591877426</v>
      </c>
    </row>
    <row r="32" customFormat="false" ht="15" hidden="false" customHeight="false" outlineLevel="0" collapsed="false">
      <c r="B32" s="26" t="n">
        <v>75</v>
      </c>
      <c r="C32" s="28" t="n">
        <f aca="false">_xlfn.NORM.S.DIST((LN(B32/K_A)+(r+sigma^2/2)*T_A)/(sigma*SQRT(T_A)),TRUE())</f>
        <v>0.0369904016436692</v>
      </c>
      <c r="D32" s="28" t="n">
        <f aca="false">C32-1</f>
        <v>-0.963009598356331</v>
      </c>
    </row>
    <row r="33" customFormat="false" ht="15" hidden="false" customHeight="false" outlineLevel="0" collapsed="false">
      <c r="B33" s="26" t="n">
        <v>80</v>
      </c>
      <c r="C33" s="28" t="n">
        <f aca="false">_xlfn.NORM.S.DIST((LN(B33/K_A)+(r+sigma^2/2)*T_A)/(sigma*SQRT(T_A)),TRUE())</f>
        <v>0.091697240337173</v>
      </c>
      <c r="D33" s="28" t="n">
        <f aca="false">C33-1</f>
        <v>-0.908302759662827</v>
      </c>
    </row>
    <row r="34" customFormat="false" ht="15" hidden="false" customHeight="false" outlineLevel="0" collapsed="false">
      <c r="B34" s="26" t="n">
        <v>85</v>
      </c>
      <c r="C34" s="28" t="n">
        <f aca="false">_xlfn.NORM.S.DIST((LN(B34/K_A)+(r+sigma^2/2)*T_A)/(sigma*SQRT(T_A)),TRUE())</f>
        <v>0.18360945549141</v>
      </c>
      <c r="D34" s="28" t="n">
        <f aca="false">C34-1</f>
        <v>-0.81639054450859</v>
      </c>
    </row>
    <row r="35" customFormat="false" ht="15" hidden="false" customHeight="false" outlineLevel="0" collapsed="false">
      <c r="B35" s="26" t="n">
        <v>90</v>
      </c>
      <c r="C35" s="28" t="n">
        <f aca="false">_xlfn.NORM.S.DIST((LN(B35/K_A)+(r+sigma^2/2)*T_A)/(sigma*SQRT(T_A)),TRUE())</f>
        <v>0.309409799330358</v>
      </c>
      <c r="D35" s="28" t="n">
        <f aca="false">C35-1</f>
        <v>-0.690590200669642</v>
      </c>
    </row>
    <row r="36" customFormat="false" ht="15" hidden="false" customHeight="false" outlineLevel="0" collapsed="false">
      <c r="B36" s="26" t="n">
        <v>95</v>
      </c>
      <c r="C36" s="28" t="n">
        <f aca="false">_xlfn.NORM.S.DIST((LN(B36/K_A)+(r+sigma^2/2)*T_A)/(sigma*SQRT(T_A)),TRUE())</f>
        <v>0.454138944163076</v>
      </c>
      <c r="D36" s="28" t="n">
        <f aca="false">C36-1</f>
        <v>-0.545861055836924</v>
      </c>
    </row>
    <row r="37" customFormat="false" ht="15" hidden="false" customHeight="false" outlineLevel="0" collapsed="false">
      <c r="B37" s="26" t="n">
        <v>100</v>
      </c>
      <c r="C37" s="28" t="n">
        <f aca="false">_xlfn.NORM.S.DIST((LN(B37/K_A)+(r+sigma^2/2)*T_A)/(sigma*SQRT(T_A)),TRUE())</f>
        <v>0.597734468908438</v>
      </c>
      <c r="D37" s="28" t="n">
        <f aca="false">C37-1</f>
        <v>-0.402265531091562</v>
      </c>
    </row>
    <row r="38" customFormat="false" ht="15" hidden="false" customHeight="false" outlineLevel="0" collapsed="false">
      <c r="B38" s="26" t="n">
        <v>105</v>
      </c>
      <c r="C38" s="28" t="n">
        <f aca="false">_xlfn.NORM.S.DIST((LN(B38/K_A)+(r+sigma^2/2)*T_A)/(sigma*SQRT(T_A)),TRUE())</f>
        <v>0.723237381065062</v>
      </c>
      <c r="D38" s="28" t="n">
        <f aca="false">C38-1</f>
        <v>-0.276762618934938</v>
      </c>
    </row>
    <row r="39" customFormat="false" ht="15" hidden="false" customHeight="false" outlineLevel="0" collapsed="false">
      <c r="B39" s="26" t="n">
        <v>110</v>
      </c>
      <c r="C39" s="28" t="n">
        <f aca="false">_xlfn.NORM.S.DIST((LN(B39/K_A)+(r+sigma^2/2)*T_A)/(sigma*SQRT(T_A)),TRUE())</f>
        <v>0.821587566665536</v>
      </c>
      <c r="D39" s="28" t="n">
        <f aca="false">C39-1</f>
        <v>-0.178412433334464</v>
      </c>
    </row>
    <row r="40" customFormat="false" ht="15" hidden="false" customHeight="false" outlineLevel="0" collapsed="false">
      <c r="B40" s="26" t="n">
        <v>115</v>
      </c>
      <c r="C40" s="28" t="n">
        <f aca="false">_xlfn.NORM.S.DIST((LN(B40/K_A)+(r+sigma^2/2)*T_A)/(sigma*SQRT(T_A)),TRUE())</f>
        <v>0.891724906293907</v>
      </c>
      <c r="D40" s="28" t="n">
        <f aca="false">C40-1</f>
        <v>-0.108275093706093</v>
      </c>
    </row>
    <row r="41" customFormat="false" ht="15" hidden="false" customHeight="false" outlineLevel="0" collapsed="false">
      <c r="B41" s="26" t="n">
        <v>120</v>
      </c>
      <c r="C41" s="28" t="n">
        <f aca="false">_xlfn.NORM.S.DIST((LN(B41/K_A)+(r+sigma^2/2)*T_A)/(sigma*SQRT(T_A)),TRUE())</f>
        <v>0.937816048914623</v>
      </c>
      <c r="D41" s="28" t="n">
        <f aca="false">C41-1</f>
        <v>-0.062183951085377</v>
      </c>
    </row>
    <row r="42" customFormat="false" ht="15" hidden="false" customHeight="false" outlineLevel="0" collapsed="false">
      <c r="B42" s="26" t="n">
        <v>125</v>
      </c>
      <c r="C42" s="28" t="n">
        <f aca="false">_xlfn.NORM.S.DIST((LN(B42/K_A)+(r+sigma^2/2)*T_A)/(sigma*SQRT(T_A)),TRUE())</f>
        <v>0.966025927262147</v>
      </c>
      <c r="D42" s="28" t="n">
        <f aca="false">C42-1</f>
        <v>-0.0339740727378527</v>
      </c>
    </row>
    <row r="43" customFormat="false" ht="15" hidden="false" customHeight="false" outlineLevel="0" collapsed="false">
      <c r="B43" s="26" t="n">
        <v>130</v>
      </c>
      <c r="C43" s="28" t="n">
        <f aca="false">_xlfn.NORM.S.DIST((LN(B43/K_A)+(r+sigma^2/2)*T_A)/(sigma*SQRT(T_A)),TRUE())</f>
        <v>0.982253250163945</v>
      </c>
      <c r="D43" s="28" t="n">
        <f aca="false">C43-1</f>
        <v>-0.0177467498360552</v>
      </c>
    </row>
    <row r="44" customFormat="false" ht="15" hidden="false" customHeight="false" outlineLevel="0" collapsed="false">
      <c r="B44" s="26" t="n">
        <v>135</v>
      </c>
      <c r="C44" s="28" t="n">
        <f aca="false">_xlfn.NORM.S.DIST((LN(B44/K_A)+(r+sigma^2/2)*T_A)/(sigma*SQRT(T_A)),TRUE())</f>
        <v>0.991095061502178</v>
      </c>
      <c r="D44" s="28" t="n">
        <f aca="false">C44-1</f>
        <v>-0.00890493849782192</v>
      </c>
    </row>
    <row r="45" customFormat="false" ht="15" hidden="false" customHeight="false" outlineLevel="0" collapsed="false">
      <c r="B45" s="26" t="n">
        <v>140</v>
      </c>
      <c r="C45" s="28" t="n">
        <f aca="false">_xlfn.NORM.S.DIST((LN(B45/K_A)+(r+sigma^2/2)*T_A)/(sigma*SQRT(T_A)),TRUE())</f>
        <v>0.995689202634732</v>
      </c>
      <c r="D45" s="28" t="n">
        <f aca="false">C45-1</f>
        <v>-0.00431079736526785</v>
      </c>
    </row>
  </sheetData>
  <mergeCells count="7">
    <mergeCell ref="A1:H1"/>
    <mergeCell ref="A2:H2"/>
    <mergeCell ref="A5:H5"/>
    <mergeCell ref="A14:H14"/>
    <mergeCell ref="A23:H23"/>
    <mergeCell ref="A25:H25"/>
    <mergeCell ref="A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4B6E"/>
    <pageSetUpPr fitToPage="false"/>
  </sheetPr>
  <dimension ref="A1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6" min="3" style="0" width="16"/>
    <col collapsed="false" customWidth="true" hidden="false" outlineLevel="0" max="8" min="7" style="0" width="13"/>
  </cols>
  <sheetData>
    <row r="1" customFormat="false" ht="27.75" hidden="false" customHeight="true" outlineLevel="0" collapsed="false">
      <c r="A1" s="36" t="s">
        <v>160</v>
      </c>
      <c r="B1" s="36"/>
      <c r="C1" s="36"/>
      <c r="D1" s="36"/>
      <c r="E1" s="36"/>
      <c r="F1" s="36"/>
      <c r="G1" s="36"/>
      <c r="H1" s="36"/>
    </row>
    <row r="2" customFormat="false" ht="15" hidden="false" customHeight="false" outlineLevel="0" collapsed="false">
      <c r="A2" s="2" t="s">
        <v>161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37" t="s">
        <v>162</v>
      </c>
      <c r="B5" s="37"/>
      <c r="C5" s="37"/>
      <c r="D5" s="37"/>
      <c r="E5" s="37"/>
      <c r="F5" s="37"/>
      <c r="G5" s="37"/>
      <c r="H5" s="37"/>
    </row>
    <row r="6" customFormat="false" ht="15" hidden="false" customHeight="false" outlineLevel="0" collapsed="false">
      <c r="B6" s="21" t="s">
        <v>163</v>
      </c>
      <c r="C6" s="46" t="n">
        <f aca="false">N_short</f>
        <v>1000</v>
      </c>
    </row>
    <row r="7" customFormat="false" ht="15" hidden="false" customHeight="false" outlineLevel="0" collapsed="false">
      <c r="B7" s="21" t="s">
        <v>164</v>
      </c>
      <c r="C7" s="23" t="n">
        <f aca="false">C0_A</f>
        <v>6.88872857768062</v>
      </c>
    </row>
    <row r="8" customFormat="false" ht="15" hidden="false" customHeight="false" outlineLevel="0" collapsed="false">
      <c r="B8" s="21" t="s">
        <v>165</v>
      </c>
      <c r="C8" s="23" t="n">
        <f aca="false">Delta_A</f>
        <v>0.597734468908438</v>
      </c>
    </row>
    <row r="9" customFormat="false" ht="15" hidden="false" customHeight="false" outlineLevel="0" collapsed="false">
      <c r="B9" s="21" t="s">
        <v>166</v>
      </c>
      <c r="C9" s="27" t="n">
        <f aca="false">-C6*C8</f>
        <v>-597.734468908438</v>
      </c>
    </row>
    <row r="10" customFormat="false" ht="15" hidden="false" customHeight="false" outlineLevel="0" collapsed="false">
      <c r="B10" s="35" t="s">
        <v>167</v>
      </c>
      <c r="C10" s="44" t="n">
        <f aca="false">-C9</f>
        <v>597.734468908438</v>
      </c>
    </row>
    <row r="11" customFormat="false" ht="15" hidden="false" customHeight="false" outlineLevel="0" collapsed="false">
      <c r="B11" s="21" t="s">
        <v>168</v>
      </c>
      <c r="C11" s="27" t="n">
        <f aca="false">C9+C10</f>
        <v>0</v>
      </c>
    </row>
    <row r="13" customFormat="false" ht="19.5" hidden="false" customHeight="true" outlineLevel="0" collapsed="false">
      <c r="A13" s="37" t="s">
        <v>169</v>
      </c>
      <c r="B13" s="37"/>
      <c r="C13" s="37"/>
      <c r="D13" s="37"/>
      <c r="E13" s="37"/>
      <c r="F13" s="37"/>
      <c r="G13" s="37"/>
      <c r="H13" s="37"/>
    </row>
    <row r="14" customFormat="false" ht="15" hidden="false" customHeight="false" outlineLevel="0" collapsed="false">
      <c r="B14" s="41" t="s">
        <v>87</v>
      </c>
      <c r="C14" s="41" t="s">
        <v>170</v>
      </c>
      <c r="D14" s="41" t="s">
        <v>171</v>
      </c>
      <c r="E14" s="41" t="s">
        <v>172</v>
      </c>
    </row>
    <row r="15" customFormat="false" ht="15" hidden="false" customHeight="false" outlineLevel="0" collapsed="false">
      <c r="B15" s="21" t="s">
        <v>173</v>
      </c>
      <c r="C15" s="29" t="n">
        <v>102</v>
      </c>
      <c r="D15" s="29" t="n">
        <v>98</v>
      </c>
      <c r="E15" s="29" t="n">
        <v>110</v>
      </c>
    </row>
    <row r="16" customFormat="false" ht="15" hidden="false" customHeight="false" outlineLevel="0" collapsed="false">
      <c r="B16" s="21" t="s">
        <v>174</v>
      </c>
      <c r="C16" s="28" t="n">
        <f aca="false">C15*_xlfn.NORM.S.DIST((LN(C15/K_A)+(r+sigma^2/2)*T_A)/(sigma*SQRT(T_A)),TRUE())-K_A*EXP(-r*T_A)*_xlfn.NORM.S.DIST((LN(C15/K_A)+(r+sigma^2/2)*T_A)/(sigma*SQRT(T_A))-sigma*SQRT(T_A),TRUE())</f>
        <v>8.13784309338955</v>
      </c>
      <c r="D16" s="28" t="n">
        <f aca="false">D15*_xlfn.NORM.S.DIST((LN(D15/K_A)+(r+sigma^2/2)*T_A)/(sigma*SQRT(T_A)),TRUE())-K_A*EXP(-r*T_A)*_xlfn.NORM.S.DIST((LN(D15/K_A)+(r+sigma^2/2)*T_A)/(sigma*SQRT(T_A))-sigma*SQRT(T_A),TRUE())</f>
        <v>5.74890404457102</v>
      </c>
      <c r="E16" s="28" t="n">
        <f aca="false">E15*_xlfn.NORM.S.DIST((LN(E15/K_A)+(r+sigma^2/2)*T_A)/(sigma*SQRT(T_A)),TRUE())-K_A*EXP(-r*T_A)*_xlfn.NORM.S.DIST((LN(E15/K_A)+(r+sigma^2/2)*T_A)/(sigma*SQRT(T_A))-sigma*SQRT(T_A),TRUE())</f>
        <v>14.0753840363817</v>
      </c>
    </row>
    <row r="17" customFormat="false" ht="15" hidden="false" customHeight="false" outlineLevel="0" collapsed="false">
      <c r="B17" s="21" t="s">
        <v>175</v>
      </c>
      <c r="C17" s="47" t="n">
        <f aca="false">-$C$6*(C16-$C$7)</f>
        <v>-1249.11451570893</v>
      </c>
      <c r="D17" s="47" t="n">
        <f aca="false">-$C$6*(D16-$C$7)</f>
        <v>1139.8245331096</v>
      </c>
      <c r="E17" s="47" t="n">
        <f aca="false">-$C$6*(E16-$C$7)</f>
        <v>-7186.65545870107</v>
      </c>
    </row>
    <row r="18" customFormat="false" ht="15" hidden="false" customHeight="false" outlineLevel="0" collapsed="false">
      <c r="B18" s="21" t="s">
        <v>176</v>
      </c>
      <c r="C18" s="47" t="n">
        <f aca="false">$C$10*(C15-S0)</f>
        <v>1195.46893781688</v>
      </c>
      <c r="D18" s="47" t="n">
        <f aca="false">$C$10*(D15-S0)</f>
        <v>-1195.46893781688</v>
      </c>
      <c r="E18" s="47" t="n">
        <f aca="false">$C$10*(E15-S0)</f>
        <v>5977.34468908438</v>
      </c>
    </row>
    <row r="19" customFormat="false" ht="15" hidden="false" customHeight="false" outlineLevel="0" collapsed="false">
      <c r="B19" s="35" t="s">
        <v>177</v>
      </c>
      <c r="C19" s="48" t="n">
        <f aca="false">C17+C18</f>
        <v>-53.6455778920483</v>
      </c>
      <c r="D19" s="48" t="n">
        <f aca="false">D17+D18</f>
        <v>-55.644404707273</v>
      </c>
      <c r="E19" s="48" t="n">
        <f aca="false">E17+E18</f>
        <v>-1209.31076961669</v>
      </c>
    </row>
    <row r="20" customFormat="false" ht="15" hidden="false" customHeight="false" outlineLevel="0" collapsed="false">
      <c r="B20" s="21" t="s">
        <v>178</v>
      </c>
      <c r="C20" s="28" t="n">
        <f aca="false">_xlfn.NORM.S.DIST((LN(C15/K_A)+(r+sigma^2/2)*T_A)/(sigma*SQRT(T_A)),TRUE())</f>
        <v>0.650811803401956</v>
      </c>
      <c r="D20" s="28" t="n">
        <f aca="false">_xlfn.NORM.S.DIST((LN(D15/K_A)+(r+sigma^2/2)*T_A)/(sigma*SQRT(T_A)),TRUE())</f>
        <v>0.541666350991278</v>
      </c>
      <c r="E20" s="28" t="n">
        <f aca="false">_xlfn.NORM.S.DIST((LN(E15/K_A)+(r+sigma^2/2)*T_A)/(sigma*SQRT(T_A)),TRUE())</f>
        <v>0.821587566665536</v>
      </c>
    </row>
    <row r="21" customFormat="false" ht="15" hidden="false" customHeight="false" outlineLevel="0" collapsed="false">
      <c r="B21" s="21" t="s">
        <v>179</v>
      </c>
      <c r="C21" s="27" t="n">
        <f aca="false">-$C$6*C20+$C$10</f>
        <v>-53.077334493518</v>
      </c>
      <c r="D21" s="27" t="n">
        <f aca="false">-$C$6*D20+$C$10</f>
        <v>56.0681179171608</v>
      </c>
      <c r="E21" s="27" t="n">
        <f aca="false">-$C$6*E20+$C$10</f>
        <v>-223.853097757097</v>
      </c>
    </row>
    <row r="22" customFormat="false" ht="15" hidden="false" customHeight="false" outlineLevel="0" collapsed="false">
      <c r="B22" s="21" t="s">
        <v>180</v>
      </c>
      <c r="C22" s="27" t="n">
        <f aca="false">-C21</f>
        <v>53.077334493518</v>
      </c>
      <c r="D22" s="27" t="n">
        <f aca="false">-D21</f>
        <v>-56.0681179171608</v>
      </c>
      <c r="E22" s="27" t="n">
        <f aca="false">-E21</f>
        <v>223.853097757097</v>
      </c>
    </row>
    <row r="23" customFormat="false" ht="15" hidden="false" customHeight="false" outlineLevel="0" collapsed="false">
      <c r="B23" s="35" t="s">
        <v>181</v>
      </c>
      <c r="C23" s="49" t="str">
        <f aca="false">IF(C22&gt;0,"BUY ","SELL ")&amp;TEXT(ABS(C22),"0.00")&amp;" shares"</f>
        <v>BUY 53.08 shares</v>
      </c>
      <c r="D23" s="49" t="str">
        <f aca="false">IF(D22&gt;0,"BUY ","SELL ")&amp;TEXT(ABS(D22),"0.00")&amp;" shares"</f>
        <v>SELL 56.07 shares</v>
      </c>
      <c r="E23" s="49" t="str">
        <f aca="false">IF(E22&gt;0,"BUY ","SELL ")&amp;TEXT(ABS(E22),"0.00")&amp;" shares"</f>
        <v>BUY 223.85 shares</v>
      </c>
    </row>
    <row r="25" customFormat="false" ht="57.75" hidden="false" customHeight="true" outlineLevel="0" collapsed="false">
      <c r="A25" s="50" t="s">
        <v>182</v>
      </c>
      <c r="B25" s="50"/>
      <c r="C25" s="50"/>
      <c r="D25" s="50"/>
      <c r="E25" s="50"/>
      <c r="F25" s="50"/>
      <c r="G25" s="50"/>
      <c r="H25" s="50"/>
    </row>
    <row r="27" customFormat="false" ht="19.5" hidden="false" customHeight="true" outlineLevel="0" collapsed="false">
      <c r="A27" s="37" t="s">
        <v>183</v>
      </c>
      <c r="B27" s="37"/>
      <c r="C27" s="37"/>
      <c r="D27" s="37"/>
      <c r="E27" s="37"/>
      <c r="F27" s="37"/>
      <c r="G27" s="37"/>
      <c r="H27" s="37"/>
    </row>
    <row r="28" customFormat="false" ht="23.85" hidden="false" customHeight="false" outlineLevel="0" collapsed="false">
      <c r="B28" s="41" t="s">
        <v>184</v>
      </c>
      <c r="C28" s="41" t="s">
        <v>185</v>
      </c>
      <c r="D28" s="41" t="s">
        <v>186</v>
      </c>
    </row>
    <row r="29" customFormat="false" ht="15" hidden="false" customHeight="false" outlineLevel="0" collapsed="false">
      <c r="B29" s="51" t="n">
        <v>85</v>
      </c>
      <c r="C29" s="52" t="n">
        <f aca="false">-$C$6*((B29*_xlfn.NORM.S.DIST((LN(B29/K_A)+(r+sigma^2/2)*T_A)/(sigma*SQRT(T_A)),TRUE())-K_A*EXP(-r*T_A)*_xlfn.NORM.S.DIST((LN(B29/K_A)+(r+sigma^2/2)*T_A)/(sigma*SQRT(T_A))-sigma*SQRT(T_A),TRUE()))-$C$7)</f>
        <v>5760.12777374955</v>
      </c>
      <c r="D29" s="52" t="n">
        <f aca="false">C29+$C$10*(B29-S0)</f>
        <v>-3205.88925987703</v>
      </c>
    </row>
    <row r="30" customFormat="false" ht="15" hidden="false" customHeight="false" outlineLevel="0" collapsed="false">
      <c r="B30" s="51" t="n">
        <v>87.5</v>
      </c>
      <c r="C30" s="52" t="n">
        <f aca="false">-$C$6*((B30*_xlfn.NORM.S.DIST((LN(B30/K_A)+(r+sigma^2/2)*T_A)/(sigma*SQRT(T_A)),TRUE())-K_A*EXP(-r*T_A)*_xlfn.NORM.S.DIST((LN(B30/K_A)+(r+sigma^2/2)*T_A)/(sigma*SQRT(T_A))-sigma*SQRT(T_A),TRUE()))-$C$7)</f>
        <v>5228.54458089488</v>
      </c>
      <c r="D30" s="52" t="n">
        <f aca="false">C30+$C$10*(B30-S0)</f>
        <v>-2243.1362804606</v>
      </c>
    </row>
    <row r="31" customFormat="false" ht="15" hidden="false" customHeight="false" outlineLevel="0" collapsed="false">
      <c r="B31" s="51" t="n">
        <v>90</v>
      </c>
      <c r="C31" s="52" t="n">
        <f aca="false">-$C$6*((B31*_xlfn.NORM.S.DIST((LN(B31/K_A)+(r+sigma^2/2)*T_A)/(sigma*SQRT(T_A)),TRUE())-K_A*EXP(-r*T_A)*_xlfn.NORM.S.DIST((LN(B31/K_A)+(r+sigma^2/2)*T_A)/(sigma*SQRT(T_A))-sigma*SQRT(T_A),TRUE()))-$C$7)</f>
        <v>4539.30028226663</v>
      </c>
      <c r="D31" s="52" t="n">
        <f aca="false">C31+$C$10*(B31-S0)</f>
        <v>-1438.04440681775</v>
      </c>
    </row>
    <row r="32" customFormat="false" ht="15" hidden="false" customHeight="false" outlineLevel="0" collapsed="false">
      <c r="B32" s="51" t="n">
        <v>92.5</v>
      </c>
      <c r="C32" s="52" t="n">
        <f aca="false">-$C$6*((B32*_xlfn.NORM.S.DIST((LN(B32/K_A)+(r+sigma^2/2)*T_A)/(sigma*SQRT(T_A)),TRUE())-K_A*EXP(-r*T_A)*_xlfn.NORM.S.DIST((LN(B32/K_A)+(r+sigma^2/2)*T_A)/(sigma*SQRT(T_A))-sigma*SQRT(T_A),TRUE()))-$C$7)</f>
        <v>3677.47382236836</v>
      </c>
      <c r="D32" s="52" t="n">
        <f aca="false">C32+$C$10*(B32-S0)</f>
        <v>-805.534694444925</v>
      </c>
    </row>
    <row r="33" customFormat="false" ht="15" hidden="false" customHeight="false" outlineLevel="0" collapsed="false">
      <c r="B33" s="51" t="n">
        <v>95</v>
      </c>
      <c r="C33" s="52" t="n">
        <f aca="false">-$C$6*((B33*_xlfn.NORM.S.DIST((LN(B33/K_A)+(r+sigma^2/2)*T_A)/(sigma*SQRT(T_A)),TRUE())-K_A*EXP(-r*T_A)*_xlfn.NORM.S.DIST((LN(B33/K_A)+(r+sigma^2/2)*T_A)/(sigma*SQRT(T_A))-sigma*SQRT(T_A),TRUE()))-$C$7)</f>
        <v>2634.18792956013</v>
      </c>
      <c r="D33" s="52" t="n">
        <f aca="false">C33+$C$10*(B33-S0)</f>
        <v>-354.484414982064</v>
      </c>
    </row>
    <row r="34" customFormat="false" ht="15" hidden="false" customHeight="false" outlineLevel="0" collapsed="false">
      <c r="B34" s="51" t="n">
        <v>97.5</v>
      </c>
      <c r="C34" s="52" t="n">
        <f aca="false">-$C$6*((B34*_xlfn.NORM.S.DIST((LN(B34/K_A)+(r+sigma^2/2)*T_A)/(sigma*SQRT(T_A)),TRUE())-K_A*EXP(-r*T_A)*_xlfn.NORM.S.DIST((LN(B34/K_A)+(r+sigma^2/2)*T_A)/(sigma*SQRT(T_A))-sigma*SQRT(T_A),TRUE()))-$C$7)</f>
        <v>1407.06896876885</v>
      </c>
      <c r="D34" s="52" t="n">
        <f aca="false">C34+$C$10*(B34-S0)</f>
        <v>-87.2672035022488</v>
      </c>
    </row>
    <row r="35" customFormat="false" ht="15" hidden="false" customHeight="false" outlineLevel="0" collapsed="false">
      <c r="B35" s="51" t="n">
        <v>100</v>
      </c>
      <c r="C35" s="52" t="n">
        <f aca="false">-$C$6*((B35*_xlfn.NORM.S.DIST((LN(B35/K_A)+(r+sigma^2/2)*T_A)/(sigma*SQRT(T_A)),TRUE())-K_A*EXP(-r*T_A)*_xlfn.NORM.S.DIST((LN(B35/K_A)+(r+sigma^2/2)*T_A)/(sigma*SQRT(T_A))-sigma*SQRT(T_A),TRUE()))-$C$7)</f>
        <v>-0</v>
      </c>
      <c r="D35" s="52" t="n">
        <f aca="false">C35+$C$10*(B35-S0)</f>
        <v>0</v>
      </c>
    </row>
    <row r="36" customFormat="false" ht="15" hidden="false" customHeight="false" outlineLevel="0" collapsed="false">
      <c r="B36" s="51" t="n">
        <v>102.5</v>
      </c>
      <c r="C36" s="52" t="n">
        <f aca="false">-$C$6*((B36*_xlfn.NORM.S.DIST((LN(B36/K_A)+(r+sigma^2/2)*T_A)/(sigma*SQRT(T_A)),TRUE())-K_A*EXP(-r*T_A)*_xlfn.NORM.S.DIST((LN(B36/K_A)+(r+sigma^2/2)*T_A)/(sigma*SQRT(T_A))-sigma*SQRT(T_A),TRUE()))-$C$7)</f>
        <v>-1577.70759832714</v>
      </c>
      <c r="D36" s="52" t="n">
        <f aca="false">C36+$C$10*(B36-S0)</f>
        <v>-83.3714260560487</v>
      </c>
    </row>
    <row r="37" customFormat="false" ht="15" hidden="false" customHeight="false" outlineLevel="0" collapsed="false">
      <c r="B37" s="51" t="n">
        <v>105</v>
      </c>
      <c r="C37" s="52" t="n">
        <f aca="false">-$C$6*((B37*_xlfn.NORM.S.DIST((LN(B37/K_A)+(r+sigma^2/2)*T_A)/(sigma*SQRT(T_A)),TRUE())-K_A*EXP(-r*T_A)*_xlfn.NORM.S.DIST((LN(B37/K_A)+(r+sigma^2/2)*T_A)/(sigma*SQRT(T_A))-sigma*SQRT(T_A),TRUE()))-$C$7)</f>
        <v>-3312.52909314671</v>
      </c>
      <c r="D37" s="52" t="n">
        <f aca="false">C37+$C$10*(B37-S0)</f>
        <v>-323.856748604516</v>
      </c>
    </row>
    <row r="38" customFormat="false" ht="15" hidden="false" customHeight="false" outlineLevel="0" collapsed="false">
      <c r="B38" s="51" t="n">
        <v>107.5</v>
      </c>
      <c r="C38" s="52" t="n">
        <f aca="false">-$C$6*((B38*_xlfn.NORM.S.DIST((LN(B38/K_A)+(r+sigma^2/2)*T_A)/(sigma*SQRT(T_A)),TRUE())-K_A*EXP(-r*T_A)*_xlfn.NORM.S.DIST((LN(B38/K_A)+(r+sigma^2/2)*T_A)/(sigma*SQRT(T_A))-sigma*SQRT(T_A),TRUE()))-$C$7)</f>
        <v>-5188.11407670283</v>
      </c>
      <c r="D38" s="52" t="n">
        <f aca="false">C38+$C$10*(B38-S0)</f>
        <v>-705.105559889544</v>
      </c>
    </row>
    <row r="39" customFormat="false" ht="15" hidden="false" customHeight="false" outlineLevel="0" collapsed="false">
      <c r="B39" s="51" t="n">
        <v>110</v>
      </c>
      <c r="C39" s="52" t="n">
        <f aca="false">-$C$6*((B39*_xlfn.NORM.S.DIST((LN(B39/K_A)+(r+sigma^2/2)*T_A)/(sigma*SQRT(T_A)),TRUE())-K_A*EXP(-r*T_A)*_xlfn.NORM.S.DIST((LN(B39/K_A)+(r+sigma^2/2)*T_A)/(sigma*SQRT(T_A))-sigma*SQRT(T_A),TRUE()))-$C$7)</f>
        <v>-7186.65545870107</v>
      </c>
      <c r="D39" s="52" t="n">
        <f aca="false">C39+$C$10*(B39-S0)</f>
        <v>-1209.31076961669</v>
      </c>
    </row>
    <row r="40" customFormat="false" ht="15" hidden="false" customHeight="false" outlineLevel="0" collapsed="false">
      <c r="B40" s="51" t="n">
        <v>112.5</v>
      </c>
      <c r="C40" s="52" t="n">
        <f aca="false">-$C$6*((B40*_xlfn.NORM.S.DIST((LN(B40/K_A)+(r+sigma^2/2)*T_A)/(sigma*SQRT(T_A)),TRUE())-K_A*EXP(-r*T_A)*_xlfn.NORM.S.DIST((LN(B40/K_A)+(r+sigma^2/2)*T_A)/(sigma*SQRT(T_A))-sigma*SQRT(T_A),TRUE()))-$C$7)</f>
        <v>-9290.09662814214</v>
      </c>
      <c r="D40" s="52" t="n">
        <f aca="false">C40+$C$10*(B40-S0)</f>
        <v>-1818.41576678666</v>
      </c>
    </row>
    <row r="41" customFormat="false" ht="15" hidden="false" customHeight="false" outlineLevel="0" collapsed="false">
      <c r="B41" s="51" t="n">
        <v>115</v>
      </c>
      <c r="C41" s="52" t="n">
        <f aca="false">-$C$6*((B41*_xlfn.NORM.S.DIST((LN(B41/K_A)+(r+sigma^2/2)*T_A)/(sigma*SQRT(T_A)),TRUE())-K_A*EXP(-r*T_A)*_xlfn.NORM.S.DIST((LN(B41/K_A)+(r+sigma^2/2)*T_A)/(sigma*SQRT(T_A))-sigma*SQRT(T_A),TRUE()))-$C$7)</f>
        <v>-11481.0912721723</v>
      </c>
      <c r="D41" s="52" t="n">
        <f aca="false">C41+$C$10*(B41-S0)</f>
        <v>-2515.07423854573</v>
      </c>
    </row>
  </sheetData>
  <mergeCells count="6">
    <mergeCell ref="A1:H1"/>
    <mergeCell ref="A2:H2"/>
    <mergeCell ref="A5:H5"/>
    <mergeCell ref="A13:H13"/>
    <mergeCell ref="A25:H25"/>
    <mergeCell ref="A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5F82"/>
    <pageSetUpPr fitToPage="fals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6" min="3" style="0" width="15"/>
    <col collapsed="false" customWidth="true" hidden="false" outlineLevel="0" max="8" min="7" style="0" width="13"/>
  </cols>
  <sheetData>
    <row r="1" customFormat="false" ht="27.75" hidden="false" customHeight="true" outlineLevel="0" collapsed="false">
      <c r="A1" s="53" t="s">
        <v>187</v>
      </c>
      <c r="B1" s="53"/>
      <c r="C1" s="53"/>
      <c r="D1" s="53"/>
      <c r="E1" s="53"/>
      <c r="F1" s="53"/>
      <c r="G1" s="53"/>
      <c r="H1" s="53"/>
    </row>
    <row r="2" customFormat="false" ht="15" hidden="false" customHeight="false" outlineLevel="0" collapsed="false">
      <c r="A2" s="2" t="s">
        <v>188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4" t="s">
        <v>189</v>
      </c>
      <c r="B5" s="4"/>
      <c r="C5" s="4"/>
      <c r="D5" s="4"/>
      <c r="E5" s="4"/>
      <c r="F5" s="4"/>
      <c r="G5" s="4"/>
      <c r="H5" s="4"/>
    </row>
    <row r="6" customFormat="false" ht="15" hidden="false" customHeight="false" outlineLevel="0" collapsed="false">
      <c r="B6" s="21" t="s">
        <v>97</v>
      </c>
      <c r="C6" s="23" t="n">
        <f aca="false">Inputs_BS!C16</f>
        <v>0.247487373415292</v>
      </c>
    </row>
    <row r="7" customFormat="false" ht="15" hidden="false" customHeight="false" outlineLevel="0" collapsed="false">
      <c r="B7" s="21" t="s">
        <v>190</v>
      </c>
      <c r="C7" s="34" t="n">
        <f aca="false">_xlfn.NORM.S.DIST(C6,FALSE())</f>
        <v>0.386909859912704</v>
      </c>
    </row>
    <row r="8" customFormat="false" ht="15" hidden="false" customHeight="false" outlineLevel="0" collapsed="false">
      <c r="B8" s="21" t="s">
        <v>191</v>
      </c>
      <c r="C8" s="28" t="n">
        <f aca="false">S0*sigma*SQRT(T_A)</f>
        <v>14.142135623731</v>
      </c>
    </row>
    <row r="9" customFormat="false" ht="15" hidden="false" customHeight="false" outlineLevel="0" collapsed="false">
      <c r="B9" s="35" t="s">
        <v>192</v>
      </c>
      <c r="C9" s="54" t="n">
        <f aca="false">C7/C8</f>
        <v>0.027358658565221</v>
      </c>
    </row>
    <row r="10" customFormat="false" ht="23.85" hidden="false" customHeight="false" outlineLevel="0" collapsed="false">
      <c r="B10" s="21" t="s">
        <v>193</v>
      </c>
      <c r="C10" s="34" t="n">
        <f aca="false">(_xlfn.NORM.S.DIST((LN((S0+0.5)/K_A)+(r+sigma^2/2)*T_A)/(sigma*SQRT(T_A)),TRUE()))-(_xlfn.NORM.S.DIST((LN((S0-0.5)/K_A)+(r+sigma^2/2)*T_A)/(sigma*SQRT(T_A)),TRUE()))</f>
        <v>0.0273541347666137</v>
      </c>
    </row>
    <row r="11" customFormat="false" ht="15" hidden="false" customHeight="false" outlineLevel="0" collapsed="false">
      <c r="B11" s="21" t="s">
        <v>194</v>
      </c>
      <c r="C11" s="28" t="n">
        <f aca="false">Delta_A+C9</f>
        <v>0.625093127473659</v>
      </c>
    </row>
    <row r="12" customFormat="false" ht="15" hidden="false" customHeight="false" outlineLevel="0" collapsed="false">
      <c r="B12" s="21" t="s">
        <v>195</v>
      </c>
      <c r="C12" s="28" t="n">
        <f aca="false">_xlfn.NORM.S.DIST((LN((S0+1)/K_A)+(r+sigma^2/2)*T_A)/(sigma*SQRT(T_A)),TRUE())</f>
        <v>0.624699439866869</v>
      </c>
    </row>
    <row r="14" customFormat="false" ht="19.5" hidden="false" customHeight="true" outlineLevel="0" collapsed="false">
      <c r="A14" s="4" t="s">
        <v>196</v>
      </c>
      <c r="B14" s="4"/>
      <c r="C14" s="4"/>
      <c r="D14" s="4"/>
      <c r="E14" s="4"/>
      <c r="F14" s="4"/>
      <c r="G14" s="4"/>
      <c r="H14" s="4"/>
    </row>
    <row r="15" customFormat="false" ht="23.85" hidden="false" customHeight="false" outlineLevel="0" collapsed="false">
      <c r="B15" s="55" t="s">
        <v>142</v>
      </c>
      <c r="C15" s="55" t="s">
        <v>143</v>
      </c>
      <c r="D15" s="55" t="s">
        <v>197</v>
      </c>
      <c r="E15" s="55" t="s">
        <v>198</v>
      </c>
      <c r="F15" s="55" t="s">
        <v>199</v>
      </c>
    </row>
    <row r="16" customFormat="false" ht="15" hidden="false" customHeight="false" outlineLevel="0" collapsed="false">
      <c r="B16" s="21" t="s">
        <v>147</v>
      </c>
      <c r="C16" s="32" t="n">
        <v>1000</v>
      </c>
      <c r="D16" s="56" t="n">
        <f aca="false">Gamma_A</f>
        <v>0.027358658565221</v>
      </c>
      <c r="E16" s="28" t="n">
        <f aca="false">C16*D16</f>
        <v>27.358658565221</v>
      </c>
      <c r="F16" s="17" t="str">
        <f aca="false">IF(E16&gt;0,"Gains (long gamma)",IF(E16&lt;0,"Loses (short gamma)","No effect"))</f>
        <v>Gains (long gamma)</v>
      </c>
    </row>
    <row r="17" customFormat="false" ht="15" hidden="false" customHeight="false" outlineLevel="0" collapsed="false">
      <c r="B17" s="21" t="s">
        <v>149</v>
      </c>
      <c r="C17" s="32" t="n">
        <v>1000</v>
      </c>
      <c r="D17" s="56" t="n">
        <f aca="false">Gamma_A</f>
        <v>0.027358658565221</v>
      </c>
      <c r="E17" s="28" t="n">
        <f aca="false">C17*D17</f>
        <v>27.358658565221</v>
      </c>
      <c r="F17" s="17" t="str">
        <f aca="false">IF(E17&gt;0,"Gains (long gamma)",IF(E17&lt;0,"Loses (short gamma)","No effect"))</f>
        <v>Gains (long gamma)</v>
      </c>
    </row>
    <row r="18" customFormat="false" ht="15" hidden="false" customHeight="false" outlineLevel="0" collapsed="false">
      <c r="B18" s="21" t="s">
        <v>148</v>
      </c>
      <c r="C18" s="32" t="n">
        <v>-1000</v>
      </c>
      <c r="D18" s="56" t="n">
        <f aca="false">Gamma_A</f>
        <v>0.027358658565221</v>
      </c>
      <c r="E18" s="28" t="n">
        <f aca="false">C18*D18</f>
        <v>-27.358658565221</v>
      </c>
      <c r="F18" s="17" t="str">
        <f aca="false">IF(E18&gt;0,"Gains (long gamma)",IF(E18&lt;0,"Loses (short gamma)","No effect"))</f>
        <v>Loses (short gamma)</v>
      </c>
    </row>
    <row r="19" customFormat="false" ht="15" hidden="false" customHeight="false" outlineLevel="0" collapsed="false">
      <c r="B19" s="21" t="s">
        <v>150</v>
      </c>
      <c r="C19" s="32" t="n">
        <v>-1000</v>
      </c>
      <c r="D19" s="56" t="n">
        <f aca="false">Gamma_A</f>
        <v>0.027358658565221</v>
      </c>
      <c r="E19" s="28" t="n">
        <f aca="false">C19*D19</f>
        <v>-27.358658565221</v>
      </c>
      <c r="F19" s="17" t="str">
        <f aca="false">IF(E19&gt;0,"Gains (long gamma)",IF(E19&lt;0,"Loses (short gamma)","No effect"))</f>
        <v>Loses (short gamma)</v>
      </c>
    </row>
    <row r="20" customFormat="false" ht="15" hidden="false" customHeight="false" outlineLevel="0" collapsed="false">
      <c r="B20" s="21" t="s">
        <v>200</v>
      </c>
      <c r="C20" s="32" t="n">
        <v>1000</v>
      </c>
      <c r="D20" s="57" t="n">
        <v>0</v>
      </c>
      <c r="E20" s="28" t="n">
        <f aca="false">C20*D20</f>
        <v>0</v>
      </c>
      <c r="F20" s="17" t="str">
        <f aca="false">IF(E20&gt;0,"Gains (long gamma)",IF(E20&lt;0,"Loses (short gamma)","No effect"))</f>
        <v>No effect</v>
      </c>
    </row>
    <row r="22" customFormat="false" ht="19.5" hidden="false" customHeight="true" outlineLevel="0" collapsed="false">
      <c r="A22" s="4" t="s">
        <v>201</v>
      </c>
      <c r="B22" s="4"/>
      <c r="C22" s="4"/>
      <c r="D22" s="4"/>
      <c r="E22" s="4"/>
      <c r="F22" s="4"/>
      <c r="G22" s="4"/>
      <c r="H22" s="4"/>
    </row>
    <row r="23" customFormat="false" ht="15" hidden="false" customHeight="false" outlineLevel="0" collapsed="false">
      <c r="B23" s="21" t="s">
        <v>202</v>
      </c>
      <c r="C23" s="29" t="n">
        <v>5</v>
      </c>
    </row>
    <row r="24" customFormat="false" ht="15" hidden="false" customHeight="false" outlineLevel="0" collapsed="false">
      <c r="B24" s="21" t="s">
        <v>203</v>
      </c>
      <c r="C24" s="28" t="n">
        <f aca="false">Delta_A*C23</f>
        <v>2.98867234454219</v>
      </c>
    </row>
    <row r="25" customFormat="false" ht="15" hidden="false" customHeight="false" outlineLevel="0" collapsed="false">
      <c r="B25" s="21" t="s">
        <v>204</v>
      </c>
      <c r="C25" s="28" t="n">
        <f aca="false">0.5*Gamma_A*C23^2</f>
        <v>0.341983232065262</v>
      </c>
    </row>
    <row r="26" customFormat="false" ht="15" hidden="false" customHeight="false" outlineLevel="0" collapsed="false">
      <c r="B26" s="35" t="s">
        <v>205</v>
      </c>
      <c r="C26" s="39" t="n">
        <f aca="false">C24+C25</f>
        <v>3.33065557660745</v>
      </c>
    </row>
    <row r="27" customFormat="false" ht="15" hidden="false" customHeight="false" outlineLevel="0" collapsed="false">
      <c r="B27" s="35" t="s">
        <v>206</v>
      </c>
      <c r="C27" s="39" t="n">
        <f aca="false">((S0+C23)*_xlfn.NORM.S.DIST((LN((S0+C23)/K_A)+(r+sigma^2/2)*T_A)/(sigma*SQRT(T_A)),TRUE())-K_A*EXP(-r*T_A)*_xlfn.NORM.S.DIST((LN((S0+C23)/K_A)+(r+sigma^2/2)*T_A)/(sigma*SQRT(T_A))-sigma*SQRT(T_A),TRUE()))-C0_A</f>
        <v>3.31252909314671</v>
      </c>
    </row>
    <row r="28" customFormat="false" ht="15" hidden="false" customHeight="false" outlineLevel="0" collapsed="false">
      <c r="B28" s="21" t="s">
        <v>207</v>
      </c>
      <c r="C28" s="28" t="n">
        <f aca="false">C24-C27</f>
        <v>-0.323856748604516</v>
      </c>
    </row>
    <row r="29" customFormat="false" ht="15" hidden="false" customHeight="false" outlineLevel="0" collapsed="false">
      <c r="B29" s="21" t="s">
        <v>208</v>
      </c>
      <c r="C29" s="28" t="n">
        <f aca="false">C26-C27</f>
        <v>0.0181264834607462</v>
      </c>
    </row>
    <row r="31" customFormat="false" ht="19.5" hidden="false" customHeight="true" outlineLevel="0" collapsed="false">
      <c r="A31" s="4" t="s">
        <v>209</v>
      </c>
      <c r="B31" s="4"/>
      <c r="C31" s="4"/>
      <c r="D31" s="4"/>
      <c r="E31" s="4"/>
      <c r="F31" s="4"/>
      <c r="G31" s="4"/>
      <c r="H31" s="4"/>
    </row>
    <row r="32" customFormat="false" ht="15" hidden="false" customHeight="false" outlineLevel="0" collapsed="false">
      <c r="B32" s="55" t="s">
        <v>157</v>
      </c>
      <c r="C32" s="55" t="s">
        <v>210</v>
      </c>
      <c r="D32" s="55" t="s">
        <v>211</v>
      </c>
      <c r="E32" s="55" t="s">
        <v>212</v>
      </c>
      <c r="F32" s="55" t="s">
        <v>213</v>
      </c>
    </row>
    <row r="33" customFormat="false" ht="15" hidden="false" customHeight="false" outlineLevel="0" collapsed="false">
      <c r="B33" s="58" t="s">
        <v>214</v>
      </c>
      <c r="C33" s="29" t="n">
        <v>0.1</v>
      </c>
      <c r="D33" s="29" t="n">
        <v>0.25</v>
      </c>
      <c r="E33" s="29" t="n">
        <v>0.5</v>
      </c>
      <c r="F33" s="29" t="n">
        <v>1</v>
      </c>
    </row>
    <row r="34" customFormat="false" ht="15" hidden="false" customHeight="false" outlineLevel="0" collapsed="false">
      <c r="B34" s="26" t="n">
        <v>60</v>
      </c>
      <c r="C34" s="34" t="n">
        <f aca="false">_xlfn.NORM.S.DIST((LN($B34/K_A)+(r+sigma^2/2)*C$33)/(sigma*SQRT(C$33)),FALSE())/($B34*sigma*SQRT(C$33))</f>
        <v>1.7440175055394E-015</v>
      </c>
      <c r="D34" s="34" t="n">
        <f aca="false">_xlfn.NORM.S.DIST((LN($B34/K_A)+(r+sigma^2/2)*D$33)/(sigma*SQRT(D$33)),FALSE())/($B34*sigma*SQRT(D$33))</f>
        <v>3.45177673910661E-007</v>
      </c>
      <c r="E34" s="34" t="n">
        <f aca="false">_xlfn.NORM.S.DIST((LN($B34/K_A)+(r+sigma^2/2)*E$33)/(sigma*SQRT(E$33)),FALSE())/($B34*sigma*SQRT(E$33))</f>
        <v>0.000163692285830256</v>
      </c>
      <c r="F34" s="34" t="n">
        <f aca="false">_xlfn.NORM.S.DIST((LN($B34/K_A)+(r+sigma^2/2)*F$33)/(sigma*SQRT(F$33)),FALSE())/($B34*sigma*SQRT(F$33))</f>
        <v>0.0029294647110991</v>
      </c>
    </row>
    <row r="35" customFormat="false" ht="15" hidden="false" customHeight="false" outlineLevel="0" collapsed="false">
      <c r="B35" s="26" t="n">
        <v>65</v>
      </c>
      <c r="C35" s="34" t="n">
        <f aca="false">_xlfn.NORM.S.DIST((LN($B35/K_A)+(r+sigma^2/2)*C$33)/(sigma*SQRT(C$33)),FALSE())/($B35*sigma*SQRT(C$33))</f>
        <v>1.72779440080478E-011</v>
      </c>
      <c r="D35" s="34" t="n">
        <f aca="false">_xlfn.NORM.S.DIST((LN($B35/K_A)+(r+sigma^2/2)*D$33)/(sigma*SQRT(D$33)),FALSE())/($B35*sigma*SQRT(D$33))</f>
        <v>1.19966975910067E-005</v>
      </c>
      <c r="E35" s="34" t="n">
        <f aca="false">_xlfn.NORM.S.DIST((LN($B35/K_A)+(r+sigma^2/2)*E$33)/(sigma*SQRT(E$33)),FALSE())/($B35*sigma*SQRT(E$33))</f>
        <v>0.000864449891305004</v>
      </c>
      <c r="F35" s="34" t="n">
        <f aca="false">_xlfn.NORM.S.DIST((LN($B35/K_A)+(r+sigma^2/2)*F$33)/(sigma*SQRT(F$33)),FALSE())/($B35*sigma*SQRT(F$33))</f>
        <v>0.00603040083209279</v>
      </c>
    </row>
    <row r="36" customFormat="false" ht="15" hidden="false" customHeight="false" outlineLevel="0" collapsed="false">
      <c r="B36" s="26" t="n">
        <v>70</v>
      </c>
      <c r="C36" s="34" t="n">
        <f aca="false">_xlfn.NORM.S.DIST((LN($B36/K_A)+(r+sigma^2/2)*C$33)/(sigma*SQRT(C$33)),FALSE())/($B36*sigma*SQRT(C$33))</f>
        <v>2.07488685671152E-008</v>
      </c>
      <c r="D36" s="34" t="n">
        <f aca="false">_xlfn.NORM.S.DIST((LN($B36/K_A)+(r+sigma^2/2)*D$33)/(sigma*SQRT(D$33)),FALSE())/($B36*sigma*SQRT(D$33))</f>
        <v>0.000181033074372483</v>
      </c>
      <c r="E36" s="34" t="n">
        <f aca="false">_xlfn.NORM.S.DIST((LN($B36/K_A)+(r+sigma^2/2)*E$33)/(sigma*SQRT(E$33)),FALSE())/($B36*sigma*SQRT(E$33))</f>
        <v>0.003032731709005</v>
      </c>
      <c r="F36" s="34" t="n">
        <f aca="false">_xlfn.NORM.S.DIST((LN($B36/K_A)+(r+sigma^2/2)*F$33)/(sigma*SQRT(F$33)),FALSE())/($B36*sigma*SQRT(F$33))</f>
        <v>0.0102009195953553</v>
      </c>
    </row>
    <row r="37" customFormat="false" ht="15" hidden="false" customHeight="false" outlineLevel="0" collapsed="false">
      <c r="B37" s="26" t="n">
        <v>75</v>
      </c>
      <c r="C37" s="34" t="n">
        <f aca="false">_xlfn.NORM.S.DIST((LN($B37/K_A)+(r+sigma^2/2)*C$33)/(sigma*SQRT(C$33)),FALSE())/($B37*sigma*SQRT(C$33))</f>
        <v>4.44602814386513E-006</v>
      </c>
      <c r="D37" s="34" t="n">
        <f aca="false">_xlfn.NORM.S.DIST((LN($B37/K_A)+(r+sigma^2/2)*D$33)/(sigma*SQRT(D$33)),FALSE())/($B37*sigma*SQRT(D$33))</f>
        <v>0.00138264193073109</v>
      </c>
      <c r="E37" s="34" t="n">
        <f aca="false">_xlfn.NORM.S.DIST((LN($B37/K_A)+(r+sigma^2/2)*E$33)/(sigma*SQRT(E$33)),FALSE())/($B37*sigma*SQRT(E$33))</f>
        <v>0.00762272861448903</v>
      </c>
      <c r="F37" s="34" t="n">
        <f aca="false">_xlfn.NORM.S.DIST((LN($B37/K_A)+(r+sigma^2/2)*F$33)/(sigma*SQRT(F$33)),FALSE())/($B37*sigma*SQRT(F$33))</f>
        <v>0.0147088298914247</v>
      </c>
    </row>
    <row r="38" customFormat="false" ht="15" hidden="false" customHeight="false" outlineLevel="0" collapsed="false">
      <c r="B38" s="26" t="n">
        <v>80</v>
      </c>
      <c r="C38" s="34" t="n">
        <f aca="false">_xlfn.NORM.S.DIST((LN($B38/K_A)+(r+sigma^2/2)*C$33)/(sigma*SQRT(C$33)),FALSE())/($B38*sigma*SQRT(C$33))</f>
        <v>0.000229412456180486</v>
      </c>
      <c r="D38" s="34" t="n">
        <f aca="false">_xlfn.NORM.S.DIST((LN($B38/K_A)+(r+sigma^2/2)*D$33)/(sigma*SQRT(D$33)),FALSE())/($B38*sigma*SQRT(D$33))</f>
        <v>0.00601894319099591</v>
      </c>
      <c r="E38" s="34" t="n">
        <f aca="false">_xlfn.NORM.S.DIST((LN($B38/K_A)+(r+sigma^2/2)*E$33)/(sigma*SQRT(E$33)),FALSE())/($B38*sigma*SQRT(E$33))</f>
        <v>0.0145537940094495</v>
      </c>
      <c r="F38" s="34" t="n">
        <f aca="false">_xlfn.NORM.S.DIST((LN($B38/K_A)+(r+sigma^2/2)*F$33)/(sigma*SQRT(F$33)),FALSE())/($B38*sigma*SQRT(F$33))</f>
        <v>0.0185982256716879</v>
      </c>
    </row>
    <row r="39" customFormat="false" ht="15" hidden="false" customHeight="false" outlineLevel="0" collapsed="false">
      <c r="B39" s="26" t="n">
        <v>85</v>
      </c>
      <c r="C39" s="34" t="n">
        <f aca="false">_xlfn.NORM.S.DIST((LN($B39/K_A)+(r+sigma^2/2)*C$33)/(sigma*SQRT(C$33)),FALSE())/($B39*sigma*SQRT(C$33))</f>
        <v>0.00360971480991846</v>
      </c>
      <c r="D39" s="34" t="n">
        <f aca="false">_xlfn.NORM.S.DIST((LN($B39/K_A)+(r+sigma^2/2)*D$33)/(sigma*SQRT(D$33)),FALSE())/($B39*sigma*SQRT(D$33))</f>
        <v>0.0163990939548279</v>
      </c>
      <c r="E39" s="34" t="n">
        <f aca="false">_xlfn.NORM.S.DIST((LN($B39/K_A)+(r+sigma^2/2)*E$33)/(sigma*SQRT(E$33)),FALSE())/($B39*sigma*SQRT(E$33))</f>
        <v>0.0221016011802615</v>
      </c>
      <c r="F39" s="34" t="n">
        <f aca="false">_xlfn.NORM.S.DIST((LN($B39/K_A)+(r+sigma^2/2)*F$33)/(sigma*SQRT(F$33)),FALSE())/($B39*sigma*SQRT(F$33))</f>
        <v>0.0210859406350613</v>
      </c>
    </row>
    <row r="40" customFormat="false" ht="15" hidden="false" customHeight="false" outlineLevel="0" collapsed="false">
      <c r="B40" s="26" t="n">
        <v>90</v>
      </c>
      <c r="C40" s="34" t="n">
        <f aca="false">_xlfn.NORM.S.DIST((LN($B40/K_A)+(r+sigma^2/2)*C$33)/(sigma*SQRT(C$33)),FALSE())/($B40*sigma*SQRT(C$33))</f>
        <v>0.0209133697272645</v>
      </c>
      <c r="D40" s="34" t="n">
        <f aca="false">_xlfn.NORM.S.DIST((LN($B40/K_A)+(r+sigma^2/2)*D$33)/(sigma*SQRT(D$33)),FALSE())/($B40*sigma*SQRT(D$33))</f>
        <v>0.0301329319337386</v>
      </c>
      <c r="E40" s="34" t="n">
        <f aca="false">_xlfn.NORM.S.DIST((LN($B40/K_A)+(r+sigma^2/2)*E$33)/(sigma*SQRT(E$33)),FALSE())/($B40*sigma*SQRT(E$33))</f>
        <v>0.0276950452144875</v>
      </c>
      <c r="F40" s="34" t="n">
        <f aca="false">_xlfn.NORM.S.DIST((LN($B40/K_A)+(r+sigma^2/2)*F$33)/(sigma*SQRT(F$33)),FALSE())/($B40*sigma*SQRT(F$33))</f>
        <v>0.0218197475796601</v>
      </c>
    </row>
    <row r="41" customFormat="false" ht="15" hidden="false" customHeight="false" outlineLevel="0" collapsed="false">
      <c r="B41" s="26" t="n">
        <v>95</v>
      </c>
      <c r="C41" s="34" t="n">
        <f aca="false">_xlfn.NORM.S.DIST((LN($B41/K_A)+(r+sigma^2/2)*C$33)/(sigma*SQRT(C$33)),FALSE())/($B41*sigma*SQRT(C$33))</f>
        <v>0.0519578764560101</v>
      </c>
      <c r="D41" s="34" t="n">
        <f aca="false">_xlfn.NORM.S.DIST((LN($B41/K_A)+(r+sigma^2/2)*D$33)/(sigma*SQRT(D$33)),FALSE())/($B41*sigma*SQRT(D$33))</f>
        <v>0.0396632715614615</v>
      </c>
      <c r="E41" s="34" t="n">
        <f aca="false">_xlfn.NORM.S.DIST((LN($B41/K_A)+(r+sigma^2/2)*E$33)/(sigma*SQRT(E$33)),FALSE())/($B41*sigma*SQRT(E$33))</f>
        <v>0.0294977671556154</v>
      </c>
      <c r="F41" s="34" t="n">
        <f aca="false">_xlfn.NORM.S.DIST((LN($B41/K_A)+(r+sigma^2/2)*F$33)/(sigma*SQRT(F$33)),FALSE())/($B41*sigma*SQRT(F$33))</f>
        <v>0.0209053165326653</v>
      </c>
    </row>
    <row r="42" customFormat="false" ht="15" hidden="false" customHeight="false" outlineLevel="0" collapsed="false">
      <c r="B42" s="26" t="n">
        <v>100</v>
      </c>
      <c r="C42" s="34" t="n">
        <f aca="false">_xlfn.NORM.S.DIST((LN($B42/K_A)+(r+sigma^2/2)*C$33)/(sigma*SQRT(C$33)),FALSE())/($B42*sigma*SQRT(C$33))</f>
        <v>0.0626931391822104</v>
      </c>
      <c r="D42" s="34" t="n">
        <f aca="false">_xlfn.NORM.S.DIST((LN($B42/K_A)+(r+sigma^2/2)*D$33)/(sigma*SQRT(D$33)),FALSE())/($B42*sigma*SQRT(D$33))</f>
        <v>0.0392880009447379</v>
      </c>
      <c r="E42" s="34" t="n">
        <f aca="false">_xlfn.NORM.S.DIST((LN($B42/K_A)+(r+sigma^2/2)*E$33)/(sigma*SQRT(E$33)),FALSE())/($B42*sigma*SQRT(E$33))</f>
        <v>0.027358658565221</v>
      </c>
      <c r="F42" s="34" t="n">
        <f aca="false">_xlfn.NORM.S.DIST((LN($B42/K_A)+(r+sigma^2/2)*F$33)/(sigma*SQRT(F$33)),FALSE())/($B42*sigma*SQRT(F$33))</f>
        <v>0.0187620173458469</v>
      </c>
    </row>
    <row r="43" customFormat="false" ht="15" hidden="false" customHeight="false" outlineLevel="0" collapsed="false">
      <c r="B43" s="26" t="n">
        <v>105</v>
      </c>
      <c r="C43" s="34" t="n">
        <f aca="false">_xlfn.NORM.S.DIST((LN($B43/K_A)+(r+sigma^2/2)*C$33)/(sigma*SQRT(C$33)),FALSE())/($B43*sigma*SQRT(C$33))</f>
        <v>0.0407118437886818</v>
      </c>
      <c r="D43" s="34" t="n">
        <f aca="false">_xlfn.NORM.S.DIST((LN($B43/K_A)+(r+sigma^2/2)*D$33)/(sigma*SQRT(D$33)),FALSE())/($B43*sigma*SQRT(D$33))</f>
        <v>0.0304998631077705</v>
      </c>
      <c r="E43" s="34" t="n">
        <f aca="false">_xlfn.NORM.S.DIST((LN($B43/K_A)+(r+sigma^2/2)*E$33)/(sigma*SQRT(E$33)),FALSE())/($B43*sigma*SQRT(E$33))</f>
        <v>0.0225412757873436</v>
      </c>
      <c r="F43" s="34" t="n">
        <f aca="false">_xlfn.NORM.S.DIST((LN($B43/K_A)+(r+sigma^2/2)*F$33)/(sigma*SQRT(F$33)),FALSE())/($B43*sigma*SQRT(F$33))</f>
        <v>0.015925243937886</v>
      </c>
    </row>
    <row r="44" customFormat="false" ht="15" hidden="false" customHeight="false" outlineLevel="0" collapsed="false">
      <c r="B44" s="26" t="n">
        <v>110</v>
      </c>
      <c r="C44" s="34" t="n">
        <f aca="false">_xlfn.NORM.S.DIST((LN($B44/K_A)+(r+sigma^2/2)*C$33)/(sigma*SQRT(C$33)),FALSE())/($B44*sigma*SQRT(C$33))</f>
        <v>0.0154969809489578</v>
      </c>
      <c r="D44" s="34" t="n">
        <f aca="false">_xlfn.NORM.S.DIST((LN($B44/K_A)+(r+sigma^2/2)*D$33)/(sigma*SQRT(D$33)),FALSE())/($B44*sigma*SQRT(D$33))</f>
        <v>0.0191943245619491</v>
      </c>
      <c r="E44" s="34" t="n">
        <f aca="false">_xlfn.NORM.S.DIST((LN($B44/K_A)+(r+sigma^2/2)*E$33)/(sigma*SQRT(E$33)),FALSE())/($B44*sigma*SQRT(E$33))</f>
        <v>0.0167739872537947</v>
      </c>
      <c r="F44" s="34" t="n">
        <f aca="false">_xlfn.NORM.S.DIST((LN($B44/K_A)+(r+sigma^2/2)*F$33)/(sigma*SQRT(F$33)),FALSE())/($B44*sigma*SQRT(F$33))</f>
        <v>0.0128865109060859</v>
      </c>
    </row>
    <row r="45" customFormat="false" ht="15" hidden="false" customHeight="false" outlineLevel="0" collapsed="false">
      <c r="B45" s="26" t="n">
        <v>115</v>
      </c>
      <c r="C45" s="34" t="n">
        <f aca="false">_xlfn.NORM.S.DIST((LN($B45/K_A)+(r+sigma^2/2)*C$33)/(sigma*SQRT(C$33)),FALSE())/($B45*sigma*SQRT(C$33))</f>
        <v>0.00371445368240324</v>
      </c>
      <c r="D45" s="34" t="n">
        <f aca="false">_xlfn.NORM.S.DIST((LN($B45/K_A)+(r+sigma^2/2)*D$33)/(sigma*SQRT(D$33)),FALSE())/($B45*sigma*SQRT(D$33))</f>
        <v>0.0100734553851117</v>
      </c>
      <c r="E45" s="34" t="n">
        <f aca="false">_xlfn.NORM.S.DIST((LN($B45/K_A)+(r+sigma^2/2)*E$33)/(sigma*SQRT(E$33)),FALSE())/($B45*sigma*SQRT(E$33))</f>
        <v>0.011431271426787</v>
      </c>
      <c r="F45" s="34" t="n">
        <f aca="false">_xlfn.NORM.S.DIST((LN($B45/K_A)+(r+sigma^2/2)*F$33)/(sigma*SQRT(F$33)),FALSE())/($B45*sigma*SQRT(F$33))</f>
        <v>0.0100073680229733</v>
      </c>
    </row>
    <row r="46" customFormat="false" ht="15" hidden="false" customHeight="false" outlineLevel="0" collapsed="false">
      <c r="B46" s="26" t="n">
        <v>120</v>
      </c>
      <c r="C46" s="34" t="n">
        <f aca="false">_xlfn.NORM.S.DIST((LN($B46/K_A)+(r+sigma^2/2)*C$33)/(sigma*SQRT(C$33)),FALSE())/($B46*sigma*SQRT(C$33))</f>
        <v>0.000595546372647582</v>
      </c>
      <c r="D46" s="34" t="n">
        <f aca="false">_xlfn.NORM.S.DIST((LN($B46/K_A)+(r+sigma^2/2)*D$33)/(sigma*SQRT(D$33)),FALSE())/($B46*sigma*SQRT(D$33))</f>
        <v>0.00451532590962067</v>
      </c>
      <c r="E46" s="34" t="n">
        <f aca="false">_xlfn.NORM.S.DIST((LN($B46/K_A)+(r+sigma^2/2)*E$33)/(sigma*SQRT(E$33)),FALSE())/($B46*sigma*SQRT(E$33))</f>
        <v>0.00721830405242069</v>
      </c>
      <c r="F46" s="34" t="n">
        <f aca="false">_xlfn.NORM.S.DIST((LN($B46/K_A)+(r+sigma^2/2)*F$33)/(sigma*SQRT(F$33)),FALSE())/($B46*sigma*SQRT(F$33))</f>
        <v>0.00750024596353832</v>
      </c>
    </row>
    <row r="47" customFormat="false" ht="15" hidden="false" customHeight="false" outlineLevel="0" collapsed="false">
      <c r="B47" s="26" t="n">
        <v>125</v>
      </c>
      <c r="C47" s="34" t="n">
        <f aca="false">_xlfn.NORM.S.DIST((LN($B47/K_A)+(r+sigma^2/2)*C$33)/(sigma*SQRT(C$33)),FALSE())/($B47*sigma*SQRT(C$33))</f>
        <v>6.72375566375001E-005</v>
      </c>
      <c r="D47" s="34" t="n">
        <f aca="false">_xlfn.NORM.S.DIST((LN($B47/K_A)+(r+sigma^2/2)*D$33)/(sigma*SQRT(D$33)),FALSE())/($B47*sigma*SQRT(D$33))</f>
        <v>0.0017640673938999</v>
      </c>
      <c r="E47" s="34" t="n">
        <f aca="false">_xlfn.NORM.S.DIST((LN($B47/K_A)+(r+sigma^2/2)*E$33)/(sigma*SQRT(E$33)),FALSE())/($B47*sigma*SQRT(E$33))</f>
        <v>0.00426551184400821</v>
      </c>
      <c r="F47" s="34" t="n">
        <f aca="false">_xlfn.NORM.S.DIST((LN($B47/K_A)+(r+sigma^2/2)*F$33)/(sigma*SQRT(F$33)),FALSE())/($B47*sigma*SQRT(F$33))</f>
        <v>0.00545087774559774</v>
      </c>
    </row>
    <row r="48" customFormat="false" ht="15" hidden="false" customHeight="false" outlineLevel="0" collapsed="false">
      <c r="B48" s="26" t="n">
        <v>130</v>
      </c>
      <c r="C48" s="34" t="n">
        <f aca="false">_xlfn.NORM.S.DIST((LN($B48/K_A)+(r+sigma^2/2)*C$33)/(sigma*SQRT(C$33)),FALSE())/($B48*sigma*SQRT(C$33))</f>
        <v>5.58525261079421E-006</v>
      </c>
      <c r="D48" s="34" t="n">
        <f aca="false">_xlfn.NORM.S.DIST((LN($B48/K_A)+(r+sigma^2/2)*D$33)/(sigma*SQRT(D$33)),FALSE())/($B48*sigma*SQRT(D$33))</f>
        <v>0.000611198840645931</v>
      </c>
      <c r="E48" s="34" t="n">
        <f aca="false">_xlfn.NORM.S.DIST((LN($B48/K_A)+(r+sigma^2/2)*E$33)/(sigma*SQRT(E$33)),FALSE())/($B48*sigma*SQRT(E$33))</f>
        <v>0.00237894271950309</v>
      </c>
      <c r="F48" s="34" t="n">
        <f aca="false">_xlfn.NORM.S.DIST((LN($B48/K_A)+(r+sigma^2/2)*F$33)/(sigma*SQRT(F$33)),FALSE())/($B48*sigma*SQRT(F$33))</f>
        <v>0.00385702111652412</v>
      </c>
    </row>
    <row r="49" customFormat="false" ht="15" hidden="false" customHeight="false" outlineLevel="0" collapsed="false">
      <c r="B49" s="26" t="n">
        <v>135</v>
      </c>
      <c r="C49" s="34" t="n">
        <f aca="false">_xlfn.NORM.S.DIST((LN($B49/K_A)+(r+sigma^2/2)*C$33)/(sigma*SQRT(C$33)),FALSE())/($B49*sigma*SQRT(C$33))</f>
        <v>3.54471924800846E-007</v>
      </c>
      <c r="D49" s="34" t="n">
        <f aca="false">_xlfn.NORM.S.DIST((LN($B49/K_A)+(r+sigma^2/2)*D$33)/(sigma*SQRT(D$33)),FALSE())/($B49*sigma*SQRT(D$33))</f>
        <v>0.000190613626636965</v>
      </c>
      <c r="E49" s="34" t="n">
        <f aca="false">_xlfn.NORM.S.DIST((LN($B49/K_A)+(r+sigma^2/2)*E$33)/(sigma*SQRT(E$33)),FALSE())/($B49*sigma*SQRT(E$33))</f>
        <v>0.00126134204980607</v>
      </c>
      <c r="F49" s="34" t="n">
        <f aca="false">_xlfn.NORM.S.DIST((LN($B49/K_A)+(r+sigma^2/2)*F$33)/(sigma*SQRT(F$33)),FALSE())/($B49*sigma*SQRT(F$33))</f>
        <v>0.00266648803225283</v>
      </c>
    </row>
    <row r="50" customFormat="false" ht="15" hidden="false" customHeight="false" outlineLevel="0" collapsed="false">
      <c r="B50" s="26" t="n">
        <v>140</v>
      </c>
      <c r="C50" s="34" t="n">
        <f aca="false">_xlfn.NORM.S.DIST((LN($B50/K_A)+(r+sigma^2/2)*C$33)/(sigma*SQRT(C$33)),FALSE())/($B50*sigma*SQRT(C$33))</f>
        <v>1.7756793478227E-008</v>
      </c>
      <c r="D50" s="34" t="n">
        <f aca="false">_xlfn.NORM.S.DIST((LN($B50/K_A)+(r+sigma^2/2)*D$33)/(sigma*SQRT(D$33)),FALSE())/($B50*sigma*SQRT(D$33))</f>
        <v>5.42008981972433E-005</v>
      </c>
      <c r="E50" s="34" t="n">
        <f aca="false">_xlfn.NORM.S.DIST((LN($B50/K_A)+(r+sigma^2/2)*E$33)/(sigma*SQRT(E$33)),FALSE())/($B50*sigma*SQRT(E$33))</f>
        <v>0.00063979674524318</v>
      </c>
      <c r="F50" s="34" t="n">
        <f aca="false">_xlfn.NORM.S.DIST((LN($B50/K_A)+(r+sigma^2/2)*F$33)/(sigma*SQRT(F$33)),FALSE())/($B50*sigma*SQRT(F$33))</f>
        <v>0.00180645479235862</v>
      </c>
    </row>
  </sheetData>
  <mergeCells count="6">
    <mergeCell ref="A1:H1"/>
    <mergeCell ref="A2:H2"/>
    <mergeCell ref="A5:H5"/>
    <mergeCell ref="A14:H14"/>
    <mergeCell ref="A22:H22"/>
    <mergeCell ref="A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5F82"/>
    <pageSetUpPr fitToPage="false"/>
  </sheetPr>
  <dimension ref="A1:H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6" min="3" style="0" width="16"/>
    <col collapsed="false" customWidth="true" hidden="false" outlineLevel="0" max="8" min="7" style="0" width="13"/>
  </cols>
  <sheetData>
    <row r="1" customFormat="false" ht="27.75" hidden="false" customHeight="true" outlineLevel="0" collapsed="false">
      <c r="A1" s="53" t="s">
        <v>215</v>
      </c>
      <c r="B1" s="53"/>
      <c r="C1" s="53"/>
      <c r="D1" s="53"/>
      <c r="E1" s="53"/>
      <c r="F1" s="53"/>
      <c r="G1" s="53"/>
      <c r="H1" s="53"/>
    </row>
    <row r="2" customFormat="false" ht="15" hidden="false" customHeight="false" outlineLevel="0" collapsed="false">
      <c r="A2" s="2" t="s">
        <v>216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4" t="s">
        <v>217</v>
      </c>
      <c r="B5" s="4"/>
      <c r="C5" s="4"/>
      <c r="D5" s="4"/>
      <c r="E5" s="4"/>
      <c r="F5" s="4"/>
      <c r="G5" s="4"/>
      <c r="H5" s="4"/>
    </row>
    <row r="6" customFormat="false" ht="15" hidden="false" customHeight="false" outlineLevel="0" collapsed="false">
      <c r="B6" s="21" t="s">
        <v>218</v>
      </c>
      <c r="C6" s="46" t="n">
        <f aca="false">N_short</f>
        <v>1000</v>
      </c>
    </row>
    <row r="7" customFormat="false" ht="15" hidden="false" customHeight="false" outlineLevel="0" collapsed="false">
      <c r="B7" s="21" t="s">
        <v>219</v>
      </c>
      <c r="C7" s="23" t="n">
        <f aca="false">Delta_A</f>
        <v>0.597734468908438</v>
      </c>
    </row>
    <row r="8" customFormat="false" ht="15" hidden="false" customHeight="false" outlineLevel="0" collapsed="false">
      <c r="B8" s="21" t="s">
        <v>220</v>
      </c>
      <c r="C8" s="56" t="n">
        <f aca="false">Gamma_A</f>
        <v>0.027358658565221</v>
      </c>
    </row>
    <row r="9" customFormat="false" ht="15" hidden="false" customHeight="false" outlineLevel="0" collapsed="false">
      <c r="B9" s="21" t="s">
        <v>221</v>
      </c>
      <c r="C9" s="27" t="n">
        <f aca="false">-C6*C7</f>
        <v>-597.734468908438</v>
      </c>
    </row>
    <row r="10" customFormat="false" ht="15" hidden="false" customHeight="false" outlineLevel="0" collapsed="false">
      <c r="B10" s="21" t="s">
        <v>222</v>
      </c>
      <c r="C10" s="28" t="n">
        <f aca="false">-C6*C8</f>
        <v>-27.358658565221</v>
      </c>
    </row>
    <row r="12" customFormat="false" ht="19.5" hidden="false" customHeight="true" outlineLevel="0" collapsed="false">
      <c r="A12" s="4" t="s">
        <v>223</v>
      </c>
      <c r="B12" s="4"/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21" t="s">
        <v>224</v>
      </c>
      <c r="C13" s="23" t="n">
        <f aca="false">Delta_B</f>
        <v>0.377177695137538</v>
      </c>
    </row>
    <row r="14" customFormat="false" ht="15" hidden="false" customHeight="false" outlineLevel="0" collapsed="false">
      <c r="B14" s="21" t="s">
        <v>225</v>
      </c>
      <c r="C14" s="56" t="n">
        <f aca="false">Gamma_B</f>
        <v>0.0379882892309145</v>
      </c>
    </row>
    <row r="15" customFormat="false" ht="15" hidden="false" customHeight="false" outlineLevel="0" collapsed="false">
      <c r="B15" s="35" t="s">
        <v>226</v>
      </c>
      <c r="C15" s="44" t="n">
        <f aca="false">-C10/C14</f>
        <v>720.186644860984</v>
      </c>
    </row>
    <row r="16" customFormat="false" ht="15" hidden="false" customHeight="false" outlineLevel="0" collapsed="false">
      <c r="B16" s="21" t="s">
        <v>227</v>
      </c>
      <c r="C16" s="28" t="n">
        <f aca="false">C10+C15*C14</f>
        <v>0</v>
      </c>
    </row>
    <row r="18" customFormat="false" ht="19.5" hidden="false" customHeight="true" outlineLevel="0" collapsed="false">
      <c r="A18" s="4" t="s">
        <v>228</v>
      </c>
      <c r="B18" s="4"/>
      <c r="C18" s="4"/>
      <c r="D18" s="4"/>
      <c r="E18" s="4"/>
      <c r="F18" s="4"/>
      <c r="G18" s="4"/>
      <c r="H18" s="4"/>
    </row>
    <row r="19" customFormat="false" ht="15" hidden="false" customHeight="false" outlineLevel="0" collapsed="false">
      <c r="B19" s="21" t="s">
        <v>229</v>
      </c>
      <c r="C19" s="27" t="n">
        <f aca="false">C9+C15*C13</f>
        <v>-326.096130130936</v>
      </c>
    </row>
    <row r="20" customFormat="false" ht="15" hidden="false" customHeight="false" outlineLevel="0" collapsed="false">
      <c r="B20" s="35" t="s">
        <v>230</v>
      </c>
      <c r="C20" s="44" t="n">
        <f aca="false">-C19</f>
        <v>326.096130130936</v>
      </c>
    </row>
    <row r="21" customFormat="false" ht="15" hidden="false" customHeight="false" outlineLevel="0" collapsed="false">
      <c r="B21" s="21" t="s">
        <v>231</v>
      </c>
      <c r="C21" s="27" t="n">
        <f aca="false">C19+C20</f>
        <v>0</v>
      </c>
    </row>
    <row r="22" customFormat="false" ht="15" hidden="false" customHeight="false" outlineLevel="0" collapsed="false">
      <c r="B22" s="21" t="s">
        <v>232</v>
      </c>
      <c r="C22" s="28" t="n">
        <f aca="false">C16+C20*0</f>
        <v>0</v>
      </c>
    </row>
    <row r="24" customFormat="false" ht="19.5" hidden="false" customHeight="true" outlineLevel="0" collapsed="false">
      <c r="A24" s="4" t="s">
        <v>233</v>
      </c>
      <c r="B24" s="4"/>
      <c r="C24" s="4"/>
      <c r="D24" s="4"/>
      <c r="E24" s="4"/>
      <c r="F24" s="4"/>
      <c r="G24" s="4"/>
      <c r="H24" s="4"/>
    </row>
    <row r="25" customFormat="false" ht="23.85" hidden="false" customHeight="false" outlineLevel="0" collapsed="false">
      <c r="B25" s="55" t="s">
        <v>184</v>
      </c>
      <c r="C25" s="55" t="s">
        <v>234</v>
      </c>
      <c r="D25" s="55" t="s">
        <v>235</v>
      </c>
    </row>
    <row r="26" customFormat="false" ht="15" hidden="false" customHeight="false" outlineLevel="0" collapsed="false">
      <c r="B26" s="51" t="n">
        <v>85</v>
      </c>
      <c r="C26" s="52" t="n">
        <f aca="false">-N_short*((B26*_xlfn.NORM.S.DIST((LN(B26/K_A)+(r+sigma^2/2)*T_A)/(sigma*SQRT(T_A)),TRUE())-K_A*EXP(-r*T_A)*_xlfn.NORM.S.DIST((LN(B26/K_A)+(r+sigma^2/2)*T_A)/(sigma*SQRT(T_A))-sigma*SQRT(T_A),TRUE()))-C0_A)+h_shares*(B26-S0)</f>
        <v>-3205.88925987703</v>
      </c>
      <c r="D26" s="52" t="n">
        <f aca="false">-N_short*((B26*_xlfn.NORM.S.DIST((LN(B26/K_A)+(r+sigma^2/2)*T_A)/(sigma*SQRT(T_A)),TRUE())-K_A*EXP(-r*T_A)*_xlfn.NORM.S.DIST((LN(B26/K_A)+(r+sigma^2/2)*T_A)/(sigma*SQRT(T_A))-sigma*SQRT(T_A),TRUE()))-C0_A)+nB_gamma*((B26*_xlfn.NORM.S.DIST((LN(B26/K_B)+(r+sigma^2/2)*T_B)/(sigma*SQRT(T_B)),TRUE())-K_B*EXP(-r*T_B)*_xlfn.NORM.S.DIST((LN(B26/K_B)+(r+sigma^2/2)*T_B)/(sigma*SQRT(T_B))-sigma*SQRT(T_B),TRUE()))-C0_B)+sh_gamma*(B26-S0)</f>
        <v>-856.657370992657</v>
      </c>
    </row>
    <row r="27" customFormat="false" ht="15" hidden="false" customHeight="false" outlineLevel="0" collapsed="false">
      <c r="B27" s="51" t="n">
        <v>87.5</v>
      </c>
      <c r="C27" s="52" t="n">
        <f aca="false">-N_short*((B27*_xlfn.NORM.S.DIST((LN(B27/K_A)+(r+sigma^2/2)*T_A)/(sigma*SQRT(T_A)),TRUE())-K_A*EXP(-r*T_A)*_xlfn.NORM.S.DIST((LN(B27/K_A)+(r+sigma^2/2)*T_A)/(sigma*SQRT(T_A))-sigma*SQRT(T_A),TRUE()))-C0_A)+h_shares*(B27-S0)</f>
        <v>-2243.1362804606</v>
      </c>
      <c r="D27" s="52" t="n">
        <f aca="false">-N_short*((B27*_xlfn.NORM.S.DIST((LN(B27/K_A)+(r+sigma^2/2)*T_A)/(sigma*SQRT(T_A)),TRUE())-K_A*EXP(-r*T_A)*_xlfn.NORM.S.DIST((LN(B27/K_A)+(r+sigma^2/2)*T_A)/(sigma*SQRT(T_A))-sigma*SQRT(T_A),TRUE()))-C0_A)+nB_gamma*((B27*_xlfn.NORM.S.DIST((LN(B27/K_B)+(r+sigma^2/2)*T_B)/(sigma*SQRT(T_B)),TRUE())-K_B*EXP(-r*T_B)*_xlfn.NORM.S.DIST((LN(B27/K_B)+(r+sigma^2/2)*T_B)/(sigma*SQRT(T_B))-sigma*SQRT(T_B),TRUE()))-C0_B)+sh_gamma*(B27-S0)</f>
        <v>-506.324717859476</v>
      </c>
    </row>
    <row r="28" customFormat="false" ht="15" hidden="false" customHeight="false" outlineLevel="0" collapsed="false">
      <c r="B28" s="51" t="n">
        <v>90</v>
      </c>
      <c r="C28" s="52" t="n">
        <f aca="false">-N_short*((B28*_xlfn.NORM.S.DIST((LN(B28/K_A)+(r+sigma^2/2)*T_A)/(sigma*SQRT(T_A)),TRUE())-K_A*EXP(-r*T_A)*_xlfn.NORM.S.DIST((LN(B28/K_A)+(r+sigma^2/2)*T_A)/(sigma*SQRT(T_A))-sigma*SQRT(T_A),TRUE()))-C0_A)+h_shares*(B28-S0)</f>
        <v>-1438.04440681775</v>
      </c>
      <c r="D28" s="52" t="n">
        <f aca="false">-N_short*((B28*_xlfn.NORM.S.DIST((LN(B28/K_A)+(r+sigma^2/2)*T_A)/(sigma*SQRT(T_A)),TRUE())-K_A*EXP(-r*T_A)*_xlfn.NORM.S.DIST((LN(B28/K_A)+(r+sigma^2/2)*T_A)/(sigma*SQRT(T_A))-sigma*SQRT(T_A),TRUE()))-C0_A)+nB_gamma*((B28*_xlfn.NORM.S.DIST((LN(B28/K_B)+(r+sigma^2/2)*T_B)/(sigma*SQRT(T_B)),TRUE())-K_B*EXP(-r*T_B)*_xlfn.NORM.S.DIST((LN(B28/K_B)+(r+sigma^2/2)*T_B)/(sigma*SQRT(T_B))-sigma*SQRT(T_B),TRUE()))-C0_B)+sh_gamma*(B28-S0)</f>
        <v>-260.45005546951</v>
      </c>
    </row>
    <row r="29" customFormat="false" ht="15" hidden="false" customHeight="false" outlineLevel="0" collapsed="false">
      <c r="B29" s="51" t="n">
        <v>92.5</v>
      </c>
      <c r="C29" s="52" t="n">
        <f aca="false">-N_short*((B29*_xlfn.NORM.S.DIST((LN(B29/K_A)+(r+sigma^2/2)*T_A)/(sigma*SQRT(T_A)),TRUE())-K_A*EXP(-r*T_A)*_xlfn.NORM.S.DIST((LN(B29/K_A)+(r+sigma^2/2)*T_A)/(sigma*SQRT(T_A))-sigma*SQRT(T_A),TRUE()))-C0_A)+h_shares*(B29-S0)</f>
        <v>-805.534694444925</v>
      </c>
      <c r="D29" s="52" t="n">
        <f aca="false">-N_short*((B29*_xlfn.NORM.S.DIST((LN(B29/K_A)+(r+sigma^2/2)*T_A)/(sigma*SQRT(T_A)),TRUE())-K_A*EXP(-r*T_A)*_xlfn.NORM.S.DIST((LN(B29/K_A)+(r+sigma^2/2)*T_A)/(sigma*SQRT(T_A))-sigma*SQRT(T_A),TRUE()))-C0_A)+nB_gamma*((B29*_xlfn.NORM.S.DIST((LN(B29/K_B)+(r+sigma^2/2)*T_B)/(sigma*SQRT(T_B)),TRUE())-K_B*EXP(-r*T_B)*_xlfn.NORM.S.DIST((LN(B29/K_B)+(r+sigma^2/2)*T_B)/(sigma*SQRT(T_B))-sigma*SQRT(T_B),TRUE()))-C0_B)+sh_gamma*(B29-S0)</f>
        <v>-108.486498036533</v>
      </c>
    </row>
    <row r="30" customFormat="false" ht="15" hidden="false" customHeight="false" outlineLevel="0" collapsed="false">
      <c r="B30" s="51" t="n">
        <v>95</v>
      </c>
      <c r="C30" s="52" t="n">
        <f aca="false">-N_short*((B30*_xlfn.NORM.S.DIST((LN(B30/K_A)+(r+sigma^2/2)*T_A)/(sigma*SQRT(T_A)),TRUE())-K_A*EXP(-r*T_A)*_xlfn.NORM.S.DIST((LN(B30/K_A)+(r+sigma^2/2)*T_A)/(sigma*SQRT(T_A))-sigma*SQRT(T_A),TRUE()))-C0_A)+h_shares*(B30-S0)</f>
        <v>-354.484414982064</v>
      </c>
      <c r="D30" s="52" t="n">
        <f aca="false">-N_short*((B30*_xlfn.NORM.S.DIST((LN(B30/K_A)+(r+sigma^2/2)*T_A)/(sigma*SQRT(T_A)),TRUE())-K_A*EXP(-r*T_A)*_xlfn.NORM.S.DIST((LN(B30/K_A)+(r+sigma^2/2)*T_A)/(sigma*SQRT(T_A))-sigma*SQRT(T_A),TRUE()))-C0_A)+nB_gamma*((B30*_xlfn.NORM.S.DIST((LN(B30/K_B)+(r+sigma^2/2)*T_B)/(sigma*SQRT(T_B)),TRUE())-K_B*EXP(-r*T_B)*_xlfn.NORM.S.DIST((LN(B30/K_B)+(r+sigma^2/2)*T_B)/(sigma*SQRT(T_B))-sigma*SQRT(T_B),TRUE()))-C0_B)+sh_gamma*(B30-S0)</f>
        <v>-31.1750093224298</v>
      </c>
    </row>
    <row r="31" customFormat="false" ht="15" hidden="false" customHeight="false" outlineLevel="0" collapsed="false">
      <c r="B31" s="51" t="n">
        <v>97.5</v>
      </c>
      <c r="C31" s="52" t="n">
        <f aca="false">-N_short*((B31*_xlfn.NORM.S.DIST((LN(B31/K_A)+(r+sigma^2/2)*T_A)/(sigma*SQRT(T_A)),TRUE())-K_A*EXP(-r*T_A)*_xlfn.NORM.S.DIST((LN(B31/K_A)+(r+sigma^2/2)*T_A)/(sigma*SQRT(T_A))-sigma*SQRT(T_A),TRUE()))-C0_A)+h_shares*(B31-S0)</f>
        <v>-87.2672035022488</v>
      </c>
      <c r="D31" s="52" t="n">
        <f aca="false">-N_short*((B31*_xlfn.NORM.S.DIST((LN(B31/K_A)+(r+sigma^2/2)*T_A)/(sigma*SQRT(T_A)),TRUE())-K_A*EXP(-r*T_A)*_xlfn.NORM.S.DIST((LN(B31/K_A)+(r+sigma^2/2)*T_A)/(sigma*SQRT(T_A))-sigma*SQRT(T_A),TRUE()))-C0_A)+nB_gamma*((B31*_xlfn.NORM.S.DIST((LN(B31/K_B)+(r+sigma^2/2)*T_B)/(sigma*SQRT(T_B)),TRUE())-K_B*EXP(-r*T_B)*_xlfn.NORM.S.DIST((LN(B31/K_B)+(r+sigma^2/2)*T_B)/(sigma*SQRT(T_B))-sigma*SQRT(T_B),TRUE()))-C0_B)+sh_gamma*(B31-S0)</f>
        <v>-3.71253654210375</v>
      </c>
    </row>
    <row r="32" customFormat="false" ht="15" hidden="false" customHeight="false" outlineLevel="0" collapsed="false">
      <c r="B32" s="51" t="n">
        <v>100</v>
      </c>
      <c r="C32" s="52" t="n">
        <f aca="false">-N_short*((B32*_xlfn.NORM.S.DIST((LN(B32/K_A)+(r+sigma^2/2)*T_A)/(sigma*SQRT(T_A)),TRUE())-K_A*EXP(-r*T_A)*_xlfn.NORM.S.DIST((LN(B32/K_A)+(r+sigma^2/2)*T_A)/(sigma*SQRT(T_A))-sigma*SQRT(T_A),TRUE()))-C0_A)+h_shares*(B32-S0)</f>
        <v>0</v>
      </c>
      <c r="D32" s="52" t="n">
        <f aca="false">-N_short*((B32*_xlfn.NORM.S.DIST((LN(B32/K_A)+(r+sigma^2/2)*T_A)/(sigma*SQRT(T_A)),TRUE())-K_A*EXP(-r*T_A)*_xlfn.NORM.S.DIST((LN(B32/K_A)+(r+sigma^2/2)*T_A)/(sigma*SQRT(T_A))-sigma*SQRT(T_A),TRUE()))-C0_A)+nB_gamma*((B32*_xlfn.NORM.S.DIST((LN(B32/K_B)+(r+sigma^2/2)*T_B)/(sigma*SQRT(T_B)),TRUE())-K_B*EXP(-r*T_B)*_xlfn.NORM.S.DIST((LN(B32/K_B)+(r+sigma^2/2)*T_B)/(sigma*SQRT(T_B))-sigma*SQRT(T_B),TRUE()))-C0_B)+sh_gamma*(B32-S0)</f>
        <v>0</v>
      </c>
    </row>
    <row r="33" customFormat="false" ht="15" hidden="false" customHeight="false" outlineLevel="0" collapsed="false">
      <c r="B33" s="51" t="n">
        <v>102.5</v>
      </c>
      <c r="C33" s="52" t="n">
        <f aca="false">-N_short*((B33*_xlfn.NORM.S.DIST((LN(B33/K_A)+(r+sigma^2/2)*T_A)/(sigma*SQRT(T_A)),TRUE())-K_A*EXP(-r*T_A)*_xlfn.NORM.S.DIST((LN(B33/K_A)+(r+sigma^2/2)*T_A)/(sigma*SQRT(T_A))-sigma*SQRT(T_A),TRUE()))-C0_A)+h_shares*(B33-S0)</f>
        <v>-83.3714260560487</v>
      </c>
      <c r="D33" s="52" t="n">
        <f aca="false">-N_short*((B33*_xlfn.NORM.S.DIST((LN(B33/K_A)+(r+sigma^2/2)*T_A)/(sigma*SQRT(T_A)),TRUE())-K_A*EXP(-r*T_A)*_xlfn.NORM.S.DIST((LN(B33/K_A)+(r+sigma^2/2)*T_A)/(sigma*SQRT(T_A))-sigma*SQRT(T_A),TRUE()))-C0_A)+nB_gamma*((B33*_xlfn.NORM.S.DIST((LN(B33/K_B)+(r+sigma^2/2)*T_B)/(sigma*SQRT(T_B)),TRUE())-K_B*EXP(-r*T_B)*_xlfn.NORM.S.DIST((LN(B33/K_B)+(r+sigma^2/2)*T_B)/(sigma*SQRT(T_B))-sigma*SQRT(T_B),TRUE()))-C0_B)+sh_gamma*(B33-S0)</f>
        <v>3.20188562423061</v>
      </c>
    </row>
    <row r="34" customFormat="false" ht="15" hidden="false" customHeight="false" outlineLevel="0" collapsed="false">
      <c r="B34" s="51" t="n">
        <v>105</v>
      </c>
      <c r="C34" s="52" t="n">
        <f aca="false">-N_short*((B34*_xlfn.NORM.S.DIST((LN(B34/K_A)+(r+sigma^2/2)*T_A)/(sigma*SQRT(T_A)),TRUE())-K_A*EXP(-r*T_A)*_xlfn.NORM.S.DIST((LN(B34/K_A)+(r+sigma^2/2)*T_A)/(sigma*SQRT(T_A))-sigma*SQRT(T_A),TRUE()))-C0_A)+h_shares*(B34-S0)</f>
        <v>-323.856748604516</v>
      </c>
      <c r="D34" s="52" t="n">
        <f aca="false">-N_short*((B34*_xlfn.NORM.S.DIST((LN(B34/K_A)+(r+sigma^2/2)*T_A)/(sigma*SQRT(T_A)),TRUE())-K_A*EXP(-r*T_A)*_xlfn.NORM.S.DIST((LN(B34/K_A)+(r+sigma^2/2)*T_A)/(sigma*SQRT(T_A))-sigma*SQRT(T_A),TRUE()))-C0_A)+nB_gamma*((B34*_xlfn.NORM.S.DIST((LN(B34/K_B)+(r+sigma^2/2)*T_B)/(sigma*SQRT(T_B)),TRUE())-K_B*EXP(-r*T_B)*_xlfn.NORM.S.DIST((LN(B34/K_B)+(r+sigma^2/2)*T_B)/(sigma*SQRT(T_B))-sigma*SQRT(T_B),TRUE()))-C0_B)+sh_gamma*(B34-S0)</f>
        <v>23.2419842767504</v>
      </c>
    </row>
    <row r="35" customFormat="false" ht="15" hidden="false" customHeight="false" outlineLevel="0" collapsed="false">
      <c r="B35" s="51" t="n">
        <v>107.5</v>
      </c>
      <c r="C35" s="52" t="n">
        <f aca="false">-N_short*((B35*_xlfn.NORM.S.DIST((LN(B35/K_A)+(r+sigma^2/2)*T_A)/(sigma*SQRT(T_A)),TRUE())-K_A*EXP(-r*T_A)*_xlfn.NORM.S.DIST((LN(B35/K_A)+(r+sigma^2/2)*T_A)/(sigma*SQRT(T_A))-sigma*SQRT(T_A),TRUE()))-C0_A)+h_shares*(B35-S0)</f>
        <v>-705.105559889544</v>
      </c>
      <c r="D35" s="52" t="n">
        <f aca="false">-N_short*((B35*_xlfn.NORM.S.DIST((LN(B35/K_A)+(r+sigma^2/2)*T_A)/(sigma*SQRT(T_A)),TRUE())-K_A*EXP(-r*T_A)*_xlfn.NORM.S.DIST((LN(B35/K_A)+(r+sigma^2/2)*T_A)/(sigma*SQRT(T_A))-sigma*SQRT(T_A),TRUE()))-C0_A)+nB_gamma*((B35*_xlfn.NORM.S.DIST((LN(B35/K_B)+(r+sigma^2/2)*T_B)/(sigma*SQRT(T_B)),TRUE())-K_B*EXP(-r*T_B)*_xlfn.NORM.S.DIST((LN(B35/K_B)+(r+sigma^2/2)*T_B)/(sigma*SQRT(T_B))-sigma*SQRT(T_B),TRUE()))-C0_B)+sh_gamma*(B35-S0)</f>
        <v>70.2287559886613</v>
      </c>
    </row>
    <row r="36" customFormat="false" ht="15" hidden="false" customHeight="false" outlineLevel="0" collapsed="false">
      <c r="B36" s="51" t="n">
        <v>110</v>
      </c>
      <c r="C36" s="52" t="n">
        <f aca="false">-N_short*((B36*_xlfn.NORM.S.DIST((LN(B36/K_A)+(r+sigma^2/2)*T_A)/(sigma*SQRT(T_A)),TRUE())-K_A*EXP(-r*T_A)*_xlfn.NORM.S.DIST((LN(B36/K_A)+(r+sigma^2/2)*T_A)/(sigma*SQRT(T_A))-sigma*SQRT(T_A),TRUE()))-C0_A)+h_shares*(B36-S0)</f>
        <v>-1209.31076961669</v>
      </c>
      <c r="D36" s="52" t="n">
        <f aca="false">-N_short*((B36*_xlfn.NORM.S.DIST((LN(B36/K_A)+(r+sigma^2/2)*T_A)/(sigma*SQRT(T_A)),TRUE())-K_A*EXP(-r*T_A)*_xlfn.NORM.S.DIST((LN(B36/K_A)+(r+sigma^2/2)*T_A)/(sigma*SQRT(T_A))-sigma*SQRT(T_A),TRUE()))-C0_A)+nB_gamma*((B36*_xlfn.NORM.S.DIST((LN(B36/K_B)+(r+sigma^2/2)*T_B)/(sigma*SQRT(T_B)),TRUE())-K_B*EXP(-r*T_B)*_xlfn.NORM.S.DIST((LN(B36/K_B)+(r+sigma^2/2)*T_B)/(sigma*SQRT(T_B))-sigma*SQRT(T_B),TRUE()))-C0_B)+sh_gamma*(B36-S0)</f>
        <v>147.340440057138</v>
      </c>
    </row>
    <row r="37" customFormat="false" ht="15" hidden="false" customHeight="false" outlineLevel="0" collapsed="false">
      <c r="B37" s="51" t="n">
        <v>112.5</v>
      </c>
      <c r="C37" s="52" t="n">
        <f aca="false">-N_short*((B37*_xlfn.NORM.S.DIST((LN(B37/K_A)+(r+sigma^2/2)*T_A)/(sigma*SQRT(T_A)),TRUE())-K_A*EXP(-r*T_A)*_xlfn.NORM.S.DIST((LN(B37/K_A)+(r+sigma^2/2)*T_A)/(sigma*SQRT(T_A))-sigma*SQRT(T_A),TRUE()))-C0_A)+h_shares*(B37-S0)</f>
        <v>-1818.41576678666</v>
      </c>
      <c r="D37" s="52" t="n">
        <f aca="false">-N_short*((B37*_xlfn.NORM.S.DIST((LN(B37/K_A)+(r+sigma^2/2)*T_A)/(sigma*SQRT(T_A)),TRUE())-K_A*EXP(-r*T_A)*_xlfn.NORM.S.DIST((LN(B37/K_A)+(r+sigma^2/2)*T_A)/(sigma*SQRT(T_A))-sigma*SQRT(T_A),TRUE()))-C0_A)+nB_gamma*((B37*_xlfn.NORM.S.DIST((LN(B37/K_B)+(r+sigma^2/2)*T_B)/(sigma*SQRT(T_B)),TRUE())-K_B*EXP(-r*T_B)*_xlfn.NORM.S.DIST((LN(B37/K_B)+(r+sigma^2/2)*T_B)/(sigma*SQRT(T_B))-sigma*SQRT(T_B),TRUE()))-C0_B)+sh_gamma*(B37-S0)</f>
        <v>252.332250646867</v>
      </c>
    </row>
    <row r="38" customFormat="false" ht="15" hidden="false" customHeight="false" outlineLevel="0" collapsed="false">
      <c r="B38" s="51" t="n">
        <v>115</v>
      </c>
      <c r="C38" s="52" t="n">
        <f aca="false">-N_short*((B38*_xlfn.NORM.S.DIST((LN(B38/K_A)+(r+sigma^2/2)*T_A)/(sigma*SQRT(T_A)),TRUE())-K_A*EXP(-r*T_A)*_xlfn.NORM.S.DIST((LN(B38/K_A)+(r+sigma^2/2)*T_A)/(sigma*SQRT(T_A))-sigma*SQRT(T_A),TRUE()))-C0_A)+h_shares*(B38-S0)</f>
        <v>-2515.07423854573</v>
      </c>
      <c r="D38" s="52" t="n">
        <f aca="false">-N_short*((B38*_xlfn.NORM.S.DIST((LN(B38/K_A)+(r+sigma^2/2)*T_A)/(sigma*SQRT(T_A)),TRUE())-K_A*EXP(-r*T_A)*_xlfn.NORM.S.DIST((LN(B38/K_A)+(r+sigma^2/2)*T_A)/(sigma*SQRT(T_A))-sigma*SQRT(T_A),TRUE()))-C0_A)+nB_gamma*((B38*_xlfn.NORM.S.DIST((LN(B38/K_B)+(r+sigma^2/2)*T_B)/(sigma*SQRT(T_B)),TRUE())-K_B*EXP(-r*T_B)*_xlfn.NORM.S.DIST((LN(B38/K_B)+(r+sigma^2/2)*T_B)/(sigma*SQRT(T_B))-sigma*SQRT(T_B),TRUE()))-C0_B)+sh_gamma*(B38-S0)</f>
        <v>379.589000764896</v>
      </c>
    </row>
  </sheetData>
  <mergeCells count="6">
    <mergeCell ref="A1:H1"/>
    <mergeCell ref="A2:H2"/>
    <mergeCell ref="A5:H5"/>
    <mergeCell ref="A12:H12"/>
    <mergeCell ref="A18:H18"/>
    <mergeCell ref="A24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6E5A"/>
    <pageSetUpPr fitToPage="fals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6" min="3" style="0" width="16"/>
    <col collapsed="false" customWidth="true" hidden="false" outlineLevel="0" max="8" min="7" style="0" width="13"/>
  </cols>
  <sheetData>
    <row r="1" customFormat="false" ht="27.75" hidden="false" customHeight="true" outlineLevel="0" collapsed="false">
      <c r="A1" s="59" t="s">
        <v>236</v>
      </c>
      <c r="B1" s="59"/>
      <c r="C1" s="59"/>
      <c r="D1" s="59"/>
      <c r="E1" s="59"/>
      <c r="F1" s="59"/>
      <c r="G1" s="59"/>
      <c r="H1" s="59"/>
    </row>
    <row r="2" customFormat="false" ht="15" hidden="false" customHeight="false" outlineLevel="0" collapsed="false">
      <c r="A2" s="2" t="s">
        <v>237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60" t="s">
        <v>238</v>
      </c>
      <c r="B5" s="60"/>
      <c r="C5" s="60"/>
      <c r="D5" s="60"/>
      <c r="E5" s="60"/>
      <c r="F5" s="60"/>
      <c r="G5" s="60"/>
      <c r="H5" s="60"/>
    </row>
    <row r="6" customFormat="false" ht="15" hidden="false" customHeight="false" outlineLevel="0" collapsed="false">
      <c r="B6" s="21" t="s">
        <v>239</v>
      </c>
      <c r="C6" s="28" t="n">
        <f aca="false">S0*SQRT(T_A)</f>
        <v>70.7106781186548</v>
      </c>
    </row>
    <row r="7" customFormat="false" ht="15" hidden="false" customHeight="false" outlineLevel="0" collapsed="false">
      <c r="B7" s="21" t="s">
        <v>240</v>
      </c>
      <c r="C7" s="56" t="n">
        <f aca="false">Inputs_BS!C20</f>
        <v>0.386909859912704</v>
      </c>
    </row>
    <row r="8" customFormat="false" ht="15" hidden="false" customHeight="false" outlineLevel="0" collapsed="false">
      <c r="B8" s="21" t="s">
        <v>241</v>
      </c>
      <c r="C8" s="28" t="n">
        <f aca="false">C6*C7</f>
        <v>27.358658565221</v>
      </c>
    </row>
    <row r="9" customFormat="false" ht="15" hidden="false" customHeight="false" outlineLevel="0" collapsed="false">
      <c r="B9" s="35" t="s">
        <v>242</v>
      </c>
      <c r="C9" s="39" t="n">
        <f aca="false">C8/100</f>
        <v>0.27358658565221</v>
      </c>
    </row>
    <row r="10" customFormat="false" ht="15" hidden="false" customHeight="false" outlineLevel="0" collapsed="false">
      <c r="B10" s="21" t="s">
        <v>243</v>
      </c>
      <c r="C10" s="47" t="n">
        <f aca="false">-N_short*C9</f>
        <v>-273.58658565221</v>
      </c>
    </row>
    <row r="12" customFormat="false" ht="19.5" hidden="false" customHeight="true" outlineLevel="0" collapsed="false">
      <c r="A12" s="60" t="s">
        <v>244</v>
      </c>
      <c r="B12" s="60"/>
      <c r="C12" s="60"/>
      <c r="D12" s="60"/>
      <c r="E12" s="60"/>
      <c r="F12" s="60"/>
      <c r="G12" s="60"/>
      <c r="H12" s="60"/>
    </row>
    <row r="13" customFormat="false" ht="15" hidden="false" customHeight="false" outlineLevel="0" collapsed="false">
      <c r="B13" s="21" t="s">
        <v>245</v>
      </c>
      <c r="C13" s="61" t="n">
        <f aca="false">sigma</f>
        <v>0.2</v>
      </c>
    </row>
    <row r="14" customFormat="false" ht="15" hidden="false" customHeight="false" outlineLevel="0" collapsed="false">
      <c r="B14" s="21" t="s">
        <v>246</v>
      </c>
      <c r="C14" s="31" t="n">
        <v>0.21</v>
      </c>
    </row>
    <row r="15" customFormat="false" ht="15" hidden="false" customHeight="false" outlineLevel="0" collapsed="false">
      <c r="B15" s="21" t="s">
        <v>247</v>
      </c>
      <c r="C15" s="23" t="n">
        <f aca="false">C0_A</f>
        <v>6.88872857768062</v>
      </c>
    </row>
    <row r="16" customFormat="false" ht="15" hidden="false" customHeight="false" outlineLevel="0" collapsed="false">
      <c r="B16" s="21" t="s">
        <v>248</v>
      </c>
      <c r="C16" s="28" t="n">
        <f aca="false">S0*_xlfn.NORM.S.DIST((LN(S0/K_A)+(r+C14^2/2)*T_A)/(C14*SQRT(T_A)),TRUE())-K_A*EXP(-r*T_A)*_xlfn.NORM.S.DIST((LN(S0/K_A)+(r+C14^2/2)*T_A)/(C14*SQRT(T_A))-C14*SQRT(T_A),TRUE())</f>
        <v>7.16248402488356</v>
      </c>
    </row>
    <row r="17" customFormat="false" ht="15" hidden="false" customHeight="false" outlineLevel="0" collapsed="false">
      <c r="B17" s="35" t="s">
        <v>249</v>
      </c>
      <c r="C17" s="39" t="n">
        <f aca="false">C16-C15</f>
        <v>0.273755447202937</v>
      </c>
    </row>
    <row r="18" customFormat="false" ht="15" hidden="false" customHeight="false" outlineLevel="0" collapsed="false">
      <c r="B18" s="21" t="s">
        <v>250</v>
      </c>
      <c r="C18" s="28" t="n">
        <f aca="false">C9*(C14-C13)*100</f>
        <v>0.273586585652209</v>
      </c>
    </row>
    <row r="20" customFormat="false" ht="19.5" hidden="false" customHeight="true" outlineLevel="0" collapsed="false">
      <c r="A20" s="60" t="s">
        <v>251</v>
      </c>
      <c r="B20" s="60"/>
      <c r="C20" s="60"/>
      <c r="D20" s="60"/>
      <c r="E20" s="60"/>
      <c r="F20" s="60"/>
      <c r="G20" s="60"/>
      <c r="H20" s="60"/>
    </row>
    <row r="21" customFormat="false" ht="15" hidden="false" customHeight="false" outlineLevel="0" collapsed="false">
      <c r="B21" s="21" t="s">
        <v>252</v>
      </c>
      <c r="C21" s="27" t="n">
        <f aca="false">N_short*Vega_A/Vega_C</f>
        <v>824.236480385396</v>
      </c>
    </row>
    <row r="22" customFormat="false" ht="15" hidden="false" customHeight="false" outlineLevel="0" collapsed="false">
      <c r="B22" s="21" t="s">
        <v>253</v>
      </c>
      <c r="C22" s="28" t="n">
        <f aca="false">-N_short*Vega_A+C21*Vega_C</f>
        <v>0</v>
      </c>
    </row>
    <row r="23" customFormat="false" ht="15" hidden="false" customHeight="false" outlineLevel="0" collapsed="false">
      <c r="B23" s="21" t="s">
        <v>254</v>
      </c>
      <c r="C23" s="28" t="n">
        <f aca="false">-N_short*Gamma_A+C21*Gamma_C</f>
        <v>-13.6793292826105</v>
      </c>
    </row>
    <row r="24" customFormat="false" ht="30" hidden="false" customHeight="true" outlineLevel="0" collapsed="false">
      <c r="A24" s="62" t="s">
        <v>255</v>
      </c>
      <c r="B24" s="62"/>
      <c r="C24" s="62"/>
      <c r="D24" s="62"/>
      <c r="E24" s="62"/>
      <c r="F24" s="62"/>
      <c r="G24" s="62"/>
      <c r="H24" s="62"/>
    </row>
    <row r="26" customFormat="false" ht="19.5" hidden="false" customHeight="true" outlineLevel="0" collapsed="false">
      <c r="A26" s="60" t="s">
        <v>256</v>
      </c>
      <c r="B26" s="60"/>
      <c r="C26" s="60"/>
      <c r="D26" s="60"/>
      <c r="E26" s="60"/>
      <c r="F26" s="60"/>
      <c r="G26" s="60"/>
      <c r="H26" s="60"/>
    </row>
    <row r="27" customFormat="false" ht="15" hidden="false" customHeight="false" outlineLevel="0" collapsed="false">
      <c r="B27" s="63" t="s">
        <v>157</v>
      </c>
      <c r="C27" s="63" t="s">
        <v>211</v>
      </c>
      <c r="D27" s="63" t="s">
        <v>212</v>
      </c>
      <c r="E27" s="63" t="s">
        <v>213</v>
      </c>
      <c r="F27" s="63" t="s">
        <v>257</v>
      </c>
    </row>
    <row r="28" customFormat="false" ht="15" hidden="false" customHeight="false" outlineLevel="0" collapsed="false">
      <c r="B28" s="58" t="s">
        <v>214</v>
      </c>
      <c r="C28" s="29" t="n">
        <v>0.25</v>
      </c>
      <c r="D28" s="29" t="n">
        <v>0.5</v>
      </c>
      <c r="E28" s="29" t="n">
        <v>1</v>
      </c>
      <c r="F28" s="29" t="n">
        <v>2</v>
      </c>
    </row>
    <row r="29" customFormat="false" ht="15" hidden="false" customHeight="false" outlineLevel="0" collapsed="false">
      <c r="B29" s="26" t="n">
        <v>60</v>
      </c>
      <c r="C29" s="28" t="n">
        <f aca="false">$B29*SQRT(C$28)*_xlfn.NORM.S.DIST((LN($B29/K_A)+(r+sigma^2/2)*C$28)/(sigma*SQRT(C$28)),FALSE())/100</f>
        <v>6.2131981303919E-007</v>
      </c>
      <c r="D29" s="28" t="n">
        <f aca="false">$B29*SQRT(D$28)*_xlfn.NORM.S.DIST((LN($B29/K_A)+(r+sigma^2/2)*D$28)/(sigma*SQRT(D$28)),FALSE())/100</f>
        <v>0.000589292228988922</v>
      </c>
      <c r="E29" s="28" t="n">
        <f aca="false">$B29*SQRT(E$28)*_xlfn.NORM.S.DIST((LN($B29/K_A)+(r+sigma^2/2)*E$28)/(sigma*SQRT(E$28)),FALSE())/100</f>
        <v>0.0210921459199135</v>
      </c>
      <c r="F29" s="28" t="n">
        <f aca="false">$B29*SQRT(F$28)*_xlfn.NORM.S.DIST((LN($B29/K_A)+(r+sigma^2/2)*F$28)/(sigma*SQRT(F$28)),FALSE())/100</f>
        <v>0.143325310046425</v>
      </c>
    </row>
    <row r="30" customFormat="false" ht="15" hidden="false" customHeight="false" outlineLevel="0" collapsed="false">
      <c r="B30" s="26" t="n">
        <v>65</v>
      </c>
      <c r="C30" s="28" t="n">
        <f aca="false">$B30*SQRT(C$28)*_xlfn.NORM.S.DIST((LN($B30/K_A)+(r+sigma^2/2)*C$28)/(sigma*SQRT(C$28)),FALSE())/100</f>
        <v>2.53430236610016E-005</v>
      </c>
      <c r="D30" s="28" t="n">
        <f aca="false">$B30*SQRT(D$28)*_xlfn.NORM.S.DIST((LN($B30/K_A)+(r+sigma^2/2)*D$28)/(sigma*SQRT(D$28)),FALSE())/100</f>
        <v>0.00365230079076364</v>
      </c>
      <c r="E30" s="28" t="n">
        <f aca="false">$B30*SQRT(E$28)*_xlfn.NORM.S.DIST((LN($B30/K_A)+(r+sigma^2/2)*E$28)/(sigma*SQRT(E$28)),FALSE())/100</f>
        <v>0.0509568870311841</v>
      </c>
      <c r="F30" s="28" t="n">
        <f aca="false">$B30*SQRT(F$28)*_xlfn.NORM.S.DIST((LN($B30/K_A)+(r+sigma^2/2)*F$28)/(sigma*SQRT(F$28)),FALSE())/100</f>
        <v>0.216186296151887</v>
      </c>
    </row>
    <row r="31" customFormat="false" ht="15" hidden="false" customHeight="false" outlineLevel="0" collapsed="false">
      <c r="B31" s="26" t="n">
        <v>70</v>
      </c>
      <c r="C31" s="28" t="n">
        <f aca="false">$B31*SQRT(C$28)*_xlfn.NORM.S.DIST((LN($B31/K_A)+(r+sigma^2/2)*C$28)/(sigma*SQRT(C$28)),FALSE())/100</f>
        <v>0.000443531032212584</v>
      </c>
      <c r="D31" s="28" t="n">
        <f aca="false">$B31*SQRT(D$28)*_xlfn.NORM.S.DIST((LN($B31/K_A)+(r+sigma^2/2)*D$28)/(sigma*SQRT(D$28)),FALSE())/100</f>
        <v>0.0148603853741245</v>
      </c>
      <c r="E31" s="28" t="n">
        <f aca="false">$B31*SQRT(E$28)*_xlfn.NORM.S.DIST((LN($B31/K_A)+(r+sigma^2/2)*E$28)/(sigma*SQRT(E$28)),FALSE())/100</f>
        <v>0.099969012034482</v>
      </c>
      <c r="F31" s="28" t="n">
        <f aca="false">$B31*SQRT(F$28)*_xlfn.NORM.S.DIST((LN($B31/K_A)+(r+sigma^2/2)*F$28)/(sigma*SQRT(F$28)),FALSE())/100</f>
        <v>0.294503296418568</v>
      </c>
    </row>
    <row r="32" customFormat="false" ht="15" hidden="false" customHeight="false" outlineLevel="0" collapsed="false">
      <c r="B32" s="26" t="n">
        <v>75</v>
      </c>
      <c r="C32" s="28" t="n">
        <f aca="false">$B32*SQRT(C$28)*_xlfn.NORM.S.DIST((LN($B32/K_A)+(r+sigma^2/2)*C$28)/(sigma*SQRT(C$28)),FALSE())/100</f>
        <v>0.00388868043018118</v>
      </c>
      <c r="D32" s="28" t="n">
        <f aca="false">$B32*SQRT(D$28)*_xlfn.NORM.S.DIST((LN($B32/K_A)+(r+sigma^2/2)*D$28)/(sigma*SQRT(D$28)),FALSE())/100</f>
        <v>0.0428778484565008</v>
      </c>
      <c r="E32" s="28" t="n">
        <f aca="false">$B32*SQRT(E$28)*_xlfn.NORM.S.DIST((LN($B32/K_A)+(r+sigma^2/2)*E$28)/(sigma*SQRT(E$28)),FALSE())/100</f>
        <v>0.165474336278528</v>
      </c>
      <c r="F32" s="28" t="n">
        <f aca="false">$B32*SQRT(F$28)*_xlfn.NORM.S.DIST((LN($B32/K_A)+(r+sigma^2/2)*F$28)/(sigma*SQRT(F$28)),FALSE())/100</f>
        <v>0.369221153995369</v>
      </c>
    </row>
    <row r="33" customFormat="false" ht="15" hidden="false" customHeight="false" outlineLevel="0" collapsed="false">
      <c r="B33" s="26" t="n">
        <v>80</v>
      </c>
      <c r="C33" s="28" t="n">
        <f aca="false">$B33*SQRT(C$28)*_xlfn.NORM.S.DIST((LN($B33/K_A)+(r+sigma^2/2)*C$28)/(sigma*SQRT(C$28)),FALSE())/100</f>
        <v>0.0192606182111869</v>
      </c>
      <c r="D33" s="28" t="n">
        <f aca="false">$B33*SQRT(D$28)*_xlfn.NORM.S.DIST((LN($B33/K_A)+(r+sigma^2/2)*D$28)/(sigma*SQRT(D$28)),FALSE())/100</f>
        <v>0.093144281660477</v>
      </c>
      <c r="E33" s="28" t="n">
        <f aca="false">$B33*SQRT(E$28)*_xlfn.NORM.S.DIST((LN($B33/K_A)+(r+sigma^2/2)*E$28)/(sigma*SQRT(E$28)),FALSE())/100</f>
        <v>0.238057288597605</v>
      </c>
      <c r="F33" s="28" t="n">
        <f aca="false">$B33*SQRT(F$28)*_xlfn.NORM.S.DIST((LN($B33/K_A)+(r+sigma^2/2)*F$28)/(sigma*SQRT(F$28)),FALSE())/100</f>
        <v>0.432266143497989</v>
      </c>
    </row>
    <row r="34" customFormat="false" ht="15" hidden="false" customHeight="false" outlineLevel="0" collapsed="false">
      <c r="B34" s="26" t="n">
        <v>85</v>
      </c>
      <c r="C34" s="28" t="n">
        <f aca="false">$B34*SQRT(C$28)*_xlfn.NORM.S.DIST((LN($B34/K_A)+(r+sigma^2/2)*C$28)/(sigma*SQRT(C$28)),FALSE())/100</f>
        <v>0.0592417269118157</v>
      </c>
      <c r="D34" s="28" t="n">
        <f aca="false">$B34*SQRT(D$28)*_xlfn.NORM.S.DIST((LN($B34/K_A)+(r+sigma^2/2)*D$28)/(sigma*SQRT(D$28)),FALSE())/100</f>
        <v>0.159684068527389</v>
      </c>
      <c r="E34" s="28" t="n">
        <f aca="false">$B34*SQRT(E$28)*_xlfn.NORM.S.DIST((LN($B34/K_A)+(r+sigma^2/2)*E$28)/(sigma*SQRT(E$28)),FALSE())/100</f>
        <v>0.304691842176635</v>
      </c>
      <c r="F34" s="28" t="n">
        <f aca="false">$B34*SQRT(F$28)*_xlfn.NORM.S.DIST((LN($B34/K_A)+(r+sigma^2/2)*F$28)/(sigma*SQRT(F$28)),FALSE())/100</f>
        <v>0.478043636416401</v>
      </c>
    </row>
    <row r="35" customFormat="false" ht="15" hidden="false" customHeight="false" outlineLevel="0" collapsed="false">
      <c r="B35" s="26" t="n">
        <v>90</v>
      </c>
      <c r="C35" s="28" t="n">
        <f aca="false">$B35*SQRT(C$28)*_xlfn.NORM.S.DIST((LN($B35/K_A)+(r+sigma^2/2)*C$28)/(sigma*SQRT(C$28)),FALSE())/100</f>
        <v>0.122038374331641</v>
      </c>
      <c r="D35" s="28" t="n">
        <f aca="false">$B35*SQRT(D$28)*_xlfn.NORM.S.DIST((LN($B35/K_A)+(r+sigma^2/2)*D$28)/(sigma*SQRT(D$28)),FALSE())/100</f>
        <v>0.224329866237349</v>
      </c>
      <c r="E35" s="28" t="n">
        <f aca="false">$B35*SQRT(E$28)*_xlfn.NORM.S.DIST((LN($B35/K_A)+(r+sigma^2/2)*E$28)/(sigma*SQRT(E$28)),FALSE())/100</f>
        <v>0.353479910790494</v>
      </c>
      <c r="F35" s="28" t="n">
        <f aca="false">$B35*SQRT(F$28)*_xlfn.NORM.S.DIST((LN($B35/K_A)+(r+sigma^2/2)*F$28)/(sigma*SQRT(F$28)),FALSE())/100</f>
        <v>0.503976925193872</v>
      </c>
    </row>
    <row r="36" customFormat="false" ht="15" hidden="false" customHeight="false" outlineLevel="0" collapsed="false">
      <c r="B36" s="26" t="n">
        <v>95</v>
      </c>
      <c r="C36" s="28" t="n">
        <f aca="false">$B36*SQRT(C$28)*_xlfn.NORM.S.DIST((LN($B36/K_A)+(r+sigma^2/2)*C$28)/(sigma*SQRT(C$28)),FALSE())/100</f>
        <v>0.178980512921095</v>
      </c>
      <c r="D36" s="28" t="n">
        <f aca="false">$B36*SQRT(D$28)*_xlfn.NORM.S.DIST((LN($B36/K_A)+(r+sigma^2/2)*D$28)/(sigma*SQRT(D$28)),FALSE())/100</f>
        <v>0.266217348579429</v>
      </c>
      <c r="E36" s="28" t="n">
        <f aca="false">$B36*SQRT(E$28)*_xlfn.NORM.S.DIST((LN($B36/K_A)+(r+sigma^2/2)*E$28)/(sigma*SQRT(E$28)),FALSE())/100</f>
        <v>0.37734096341461</v>
      </c>
      <c r="F36" s="28" t="n">
        <f aca="false">$B36*SQRT(F$28)*_xlfn.NORM.S.DIST((LN($B36/K_A)+(r+sigma^2/2)*F$28)/(sigma*SQRT(F$28)),FALSE())/100</f>
        <v>0.510258032597873</v>
      </c>
    </row>
    <row r="37" customFormat="false" ht="15" hidden="false" customHeight="false" outlineLevel="0" collapsed="false">
      <c r="B37" s="26" t="n">
        <v>100</v>
      </c>
      <c r="C37" s="28" t="n">
        <f aca="false">$B37*SQRT(C$28)*_xlfn.NORM.S.DIST((LN($B37/K_A)+(r+sigma^2/2)*C$28)/(sigma*SQRT(C$28)),FALSE())/100</f>
        <v>0.19644000472369</v>
      </c>
      <c r="D37" s="28" t="n">
        <f aca="false">$B37*SQRT(D$28)*_xlfn.NORM.S.DIST((LN($B37/K_A)+(r+sigma^2/2)*D$28)/(sigma*SQRT(D$28)),FALSE())/100</f>
        <v>0.27358658565221</v>
      </c>
      <c r="E37" s="28" t="n">
        <f aca="false">$B37*SQRT(E$28)*_xlfn.NORM.S.DIST((LN($B37/K_A)+(r+sigma^2/2)*E$28)/(sigma*SQRT(E$28)),FALSE())/100</f>
        <v>0.375240346916938</v>
      </c>
      <c r="F37" s="28" t="n">
        <f aca="false">$B37*SQRT(F$28)*_xlfn.NORM.S.DIST((LN($B37/K_A)+(r+sigma^2/2)*F$28)/(sigma*SQRT(F$28)),FALSE())/100</f>
        <v>0.499141856072305</v>
      </c>
    </row>
    <row r="38" customFormat="false" ht="15" hidden="false" customHeight="false" outlineLevel="0" collapsed="false">
      <c r="B38" s="26" t="n">
        <v>105</v>
      </c>
      <c r="C38" s="28" t="n">
        <f aca="false">$B38*SQRT(C$28)*_xlfn.NORM.S.DIST((LN($B38/K_A)+(r+sigma^2/2)*C$28)/(sigma*SQRT(C$28)),FALSE())/100</f>
        <v>0.168130495381585</v>
      </c>
      <c r="D38" s="28" t="n">
        <f aca="false">$B38*SQRT(D$28)*_xlfn.NORM.S.DIST((LN($B38/K_A)+(r+sigma^2/2)*D$28)/(sigma*SQRT(D$28)),FALSE())/100</f>
        <v>0.248517565555463</v>
      </c>
      <c r="E38" s="28" t="n">
        <f aca="false">$B38*SQRT(E$28)*_xlfn.NORM.S.DIST((LN($B38/K_A)+(r+sigma^2/2)*E$28)/(sigma*SQRT(E$28)),FALSE())/100</f>
        <v>0.351151628830385</v>
      </c>
      <c r="F38" s="28" t="n">
        <f aca="false">$B38*SQRT(F$28)*_xlfn.NORM.S.DIST((LN($B38/K_A)+(r+sigma^2/2)*F$28)/(sigma*SQRT(F$28)),FALSE())/100</f>
        <v>0.474100683782734</v>
      </c>
    </row>
    <row r="39" customFormat="false" ht="15" hidden="false" customHeight="false" outlineLevel="0" collapsed="false">
      <c r="B39" s="26" t="n">
        <v>110</v>
      </c>
      <c r="C39" s="28" t="n">
        <f aca="false">$B39*SQRT(C$28)*_xlfn.NORM.S.DIST((LN($B39/K_A)+(r+sigma^2/2)*C$28)/(sigma*SQRT(C$28)),FALSE())/100</f>
        <v>0.116125663599792</v>
      </c>
      <c r="D39" s="28" t="n">
        <f aca="false">$B39*SQRT(D$28)*_xlfn.NORM.S.DIST((LN($B39/K_A)+(r+sigma^2/2)*D$28)/(sigma*SQRT(D$28)),FALSE())/100</f>
        <v>0.202965245770916</v>
      </c>
      <c r="E39" s="28" t="n">
        <f aca="false">$B39*SQRT(E$28)*_xlfn.NORM.S.DIST((LN($B39/K_A)+(r+sigma^2/2)*E$28)/(sigma*SQRT(E$28)),FALSE())/100</f>
        <v>0.311853563927278</v>
      </c>
      <c r="F39" s="28" t="n">
        <f aca="false">$B39*SQRT(F$28)*_xlfn.NORM.S.DIST((LN($B39/K_A)+(r+sigma^2/2)*F$28)/(sigma*SQRT(F$28)),FALSE())/100</f>
        <v>0.439058434037714</v>
      </c>
    </row>
    <row r="40" customFormat="false" ht="15" hidden="false" customHeight="false" outlineLevel="0" collapsed="false">
      <c r="B40" s="26" t="n">
        <v>115</v>
      </c>
      <c r="C40" s="28" t="n">
        <f aca="false">$B40*SQRT(C$28)*_xlfn.NORM.S.DIST((LN($B40/K_A)+(r+sigma^2/2)*C$28)/(sigma*SQRT(C$28)),FALSE())/100</f>
        <v>0.0666107237340514</v>
      </c>
      <c r="D40" s="28" t="n">
        <f aca="false">$B40*SQRT(D$28)*_xlfn.NORM.S.DIST((LN($B40/K_A)+(r+sigma^2/2)*D$28)/(sigma*SQRT(D$28)),FALSE())/100</f>
        <v>0.151178564619258</v>
      </c>
      <c r="E40" s="28" t="n">
        <f aca="false">$B40*SQRT(E$28)*_xlfn.NORM.S.DIST((LN($B40/K_A)+(r+sigma^2/2)*E$28)/(sigma*SQRT(E$28)),FALSE())/100</f>
        <v>0.264694884207644</v>
      </c>
      <c r="F40" s="28" t="n">
        <f aca="false">$B40*SQRT(F$28)*_xlfn.NORM.S.DIST((LN($B40/K_A)+(r+sigma^2/2)*F$28)/(sigma*SQRT(F$28)),FALSE())/100</f>
        <v>0.397814225384724</v>
      </c>
    </row>
    <row r="41" customFormat="false" ht="15" hidden="false" customHeight="false" outlineLevel="0" collapsed="false">
      <c r="B41" s="26" t="n">
        <v>120</v>
      </c>
      <c r="C41" s="28" t="n">
        <f aca="false">$B41*SQRT(C$28)*_xlfn.NORM.S.DIST((LN($B41/K_A)+(r+sigma^2/2)*C$28)/(sigma*SQRT(C$28)),FALSE())/100</f>
        <v>0.0325103465492688</v>
      </c>
      <c r="D41" s="28" t="n">
        <f aca="false">$B41*SQRT(D$28)*_xlfn.NORM.S.DIST((LN($B41/K_A)+(r+sigma^2/2)*D$28)/(sigma*SQRT(D$28)),FALSE())/100</f>
        <v>0.103943578354858</v>
      </c>
      <c r="E41" s="28" t="n">
        <f aca="false">$B41*SQRT(E$28)*_xlfn.NORM.S.DIST((LN($B41/K_A)+(r+sigma^2/2)*E$28)/(sigma*SQRT(E$28)),FALSE())/100</f>
        <v>0.216007083749903</v>
      </c>
      <c r="F41" s="28" t="n">
        <f aca="false">$B41*SQRT(F$28)*_xlfn.NORM.S.DIST((LN($B41/K_A)+(r+sigma^2/2)*F$28)/(sigma*SQRT(F$28)),FALSE())/100</f>
        <v>0.353679798754515</v>
      </c>
    </row>
    <row r="42" customFormat="false" ht="15" hidden="false" customHeight="false" outlineLevel="0" collapsed="false">
      <c r="B42" s="26" t="n">
        <v>125</v>
      </c>
      <c r="C42" s="28" t="n">
        <f aca="false">$B42*SQRT(C$28)*_xlfn.NORM.S.DIST((LN($B42/K_A)+(r+sigma^2/2)*C$28)/(sigma*SQRT(C$28)),FALSE())/100</f>
        <v>0.013781776514843</v>
      </c>
      <c r="D42" s="28" t="n">
        <f aca="false">$B42*SQRT(D$28)*_xlfn.NORM.S.DIST((LN($B42/K_A)+(r+sigma^2/2)*D$28)/(sigma*SQRT(D$28)),FALSE())/100</f>
        <v>0.0666486225626283</v>
      </c>
      <c r="E42" s="28" t="n">
        <f aca="false">$B42*SQRT(E$28)*_xlfn.NORM.S.DIST((LN($B42/K_A)+(r+sigma^2/2)*E$28)/(sigma*SQRT(E$28)),FALSE())/100</f>
        <v>0.17033992954993</v>
      </c>
      <c r="F42" s="28" t="n">
        <f aca="false">$B42*SQRT(F$28)*_xlfn.NORM.S.DIST((LN($B42/K_A)+(r+sigma^2/2)*F$28)/(sigma*SQRT(F$28)),FALSE())/100</f>
        <v>0.309304473994618</v>
      </c>
    </row>
    <row r="43" customFormat="false" ht="15" hidden="false" customHeight="false" outlineLevel="0" collapsed="false">
      <c r="B43" s="26" t="n">
        <v>130</v>
      </c>
      <c r="C43" s="28" t="n">
        <f aca="false">$B43*SQRT(C$28)*_xlfn.NORM.S.DIST((LN($B43/K_A)+(r+sigma^2/2)*C$28)/(sigma*SQRT(C$28)),FALSE())/100</f>
        <v>0.00516463020345812</v>
      </c>
      <c r="D43" s="28" t="n">
        <f aca="false">$B43*SQRT(D$28)*_xlfn.NORM.S.DIST((LN($B43/K_A)+(r+sigma^2/2)*D$28)/(sigma*SQRT(D$28)),FALSE())/100</f>
        <v>0.0402041319596022</v>
      </c>
      <c r="E43" s="28" t="n">
        <f aca="false">$B43*SQRT(E$28)*_xlfn.NORM.S.DIST((LN($B43/K_A)+(r+sigma^2/2)*E$28)/(sigma*SQRT(E$28)),FALSE())/100</f>
        <v>0.130367313738515</v>
      </c>
      <c r="F43" s="28" t="n">
        <f aca="false">$B43*SQRT(F$28)*_xlfn.NORM.S.DIST((LN($B43/K_A)+(r+sigma^2/2)*F$28)/(sigma*SQRT(F$28)),FALSE())/100</f>
        <v>0.266639708901948</v>
      </c>
    </row>
    <row r="44" customFormat="false" ht="15" hidden="false" customHeight="false" outlineLevel="0" collapsed="false">
      <c r="B44" s="26" t="n">
        <v>135</v>
      </c>
      <c r="C44" s="28" t="n">
        <f aca="false">$B44*SQRT(C$28)*_xlfn.NORM.S.DIST((LN($B44/K_A)+(r+sigma^2/2)*C$28)/(sigma*SQRT(C$28)),FALSE())/100</f>
        <v>0.00173696667272935</v>
      </c>
      <c r="D44" s="28" t="n">
        <f aca="false">$B44*SQRT(D$28)*_xlfn.NORM.S.DIST((LN($B44/K_A)+(r+sigma^2/2)*D$28)/(sigma*SQRT(D$28)),FALSE())/100</f>
        <v>0.0229879588577156</v>
      </c>
      <c r="E44" s="28" t="n">
        <f aca="false">$B44*SQRT(E$28)*_xlfn.NORM.S.DIST((LN($B44/K_A)+(r+sigma^2/2)*E$28)/(sigma*SQRT(E$28)),FALSE())/100</f>
        <v>0.0971934887756158</v>
      </c>
      <c r="F44" s="28" t="n">
        <f aca="false">$B44*SQRT(F$28)*_xlfn.NORM.S.DIST((LN($B44/K_A)+(r+sigma^2/2)*F$28)/(sigma*SQRT(F$28)),FALSE())/100</f>
        <v>0.22699309571321</v>
      </c>
    </row>
    <row r="45" customFormat="false" ht="15" hidden="false" customHeight="false" outlineLevel="0" collapsed="false">
      <c r="B45" s="26" t="n">
        <v>140</v>
      </c>
      <c r="C45" s="28" t="n">
        <f aca="false">$B45*SQRT(C$28)*_xlfn.NORM.S.DIST((LN($B45/K_A)+(r+sigma^2/2)*C$28)/(sigma*SQRT(C$28)),FALSE())/100</f>
        <v>0.000531168802332985</v>
      </c>
      <c r="D45" s="28" t="n">
        <f aca="false">$B45*SQRT(D$28)*_xlfn.NORM.S.DIST((LN($B45/K_A)+(r+sigma^2/2)*D$28)/(sigma*SQRT(D$28)),FALSE())/100</f>
        <v>0.0125400162067663</v>
      </c>
      <c r="E45" s="28" t="n">
        <f aca="false">$B45*SQRT(E$28)*_xlfn.NORM.S.DIST((LN($B45/K_A)+(r+sigma^2/2)*E$28)/(sigma*SQRT(E$28)),FALSE())/100</f>
        <v>0.070813027860458</v>
      </c>
      <c r="F45" s="28" t="n">
        <f aca="false">$B45*SQRT(F$28)*_xlfn.NORM.S.DIST((LN($B45/K_A)+(r+sigma^2/2)*F$28)/(sigma*SQRT(F$28)),FALSE())/100</f>
        <v>0.191129531003777</v>
      </c>
    </row>
  </sheetData>
  <mergeCells count="7">
    <mergeCell ref="A1:H1"/>
    <mergeCell ref="A2:H2"/>
    <mergeCell ref="A5:H5"/>
    <mergeCell ref="A12:H12"/>
    <mergeCell ref="A20:H20"/>
    <mergeCell ref="A24:H24"/>
    <mergeCell ref="A26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6E5A"/>
    <pageSetUpPr fitToPage="fals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6"/>
    <col collapsed="false" customWidth="true" hidden="false" outlineLevel="0" max="7" min="3" style="0" width="15"/>
    <col collapsed="false" customWidth="true" hidden="false" outlineLevel="0" max="8" min="8" style="0" width="4"/>
  </cols>
  <sheetData>
    <row r="1" customFormat="false" ht="27.75" hidden="false" customHeight="true" outlineLevel="0" collapsed="false">
      <c r="A1" s="59" t="s">
        <v>258</v>
      </c>
      <c r="B1" s="59"/>
      <c r="C1" s="59"/>
      <c r="D1" s="59"/>
      <c r="E1" s="59"/>
      <c r="F1" s="59"/>
      <c r="G1" s="59"/>
      <c r="H1" s="59"/>
    </row>
    <row r="2" customFormat="false" ht="15" hidden="false" customHeight="false" outlineLevel="0" collapsed="false">
      <c r="A2" s="2" t="s">
        <v>259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60" t="s">
        <v>260</v>
      </c>
      <c r="B5" s="60"/>
      <c r="C5" s="60"/>
      <c r="D5" s="60"/>
      <c r="E5" s="60"/>
      <c r="F5" s="60"/>
      <c r="G5" s="60"/>
      <c r="H5" s="60"/>
    </row>
    <row r="6" customFormat="false" ht="15" hidden="false" customHeight="false" outlineLevel="0" collapsed="false">
      <c r="B6" s="63" t="s">
        <v>61</v>
      </c>
      <c r="C6" s="63" t="s">
        <v>88</v>
      </c>
      <c r="D6" s="63" t="s">
        <v>89</v>
      </c>
      <c r="E6" s="63" t="s">
        <v>90</v>
      </c>
    </row>
    <row r="7" customFormat="false" ht="15" hidden="false" customHeight="false" outlineLevel="0" collapsed="false">
      <c r="B7" s="21" t="s">
        <v>65</v>
      </c>
      <c r="C7" s="23" t="n">
        <f aca="false">Delta_A</f>
        <v>0.597734468908438</v>
      </c>
      <c r="D7" s="23" t="n">
        <f aca="false">Delta_B</f>
        <v>0.377177695137538</v>
      </c>
      <c r="E7" s="23" t="n">
        <f aca="false">Delta_C</f>
        <v>0.727897480059039</v>
      </c>
    </row>
    <row r="8" customFormat="false" ht="15" hidden="false" customHeight="false" outlineLevel="0" collapsed="false">
      <c r="B8" s="21" t="s">
        <v>261</v>
      </c>
      <c r="C8" s="56" t="n">
        <f aca="false">Gamma_A</f>
        <v>0.027358658565221</v>
      </c>
      <c r="D8" s="56" t="n">
        <f aca="false">Gamma_B</f>
        <v>0.0379882892309145</v>
      </c>
      <c r="E8" s="56" t="n">
        <f aca="false">Gamma_C</f>
        <v>0.0165963647668377</v>
      </c>
    </row>
    <row r="9" customFormat="false" ht="15" hidden="false" customHeight="false" outlineLevel="0" collapsed="false">
      <c r="B9" s="21" t="s">
        <v>262</v>
      </c>
      <c r="C9" s="23" t="n">
        <f aca="false">Vega_A</f>
        <v>27.358658565221</v>
      </c>
      <c r="D9" s="23" t="n">
        <f aca="false">Vega_B</f>
        <v>18.9941446154573</v>
      </c>
      <c r="E9" s="23" t="n">
        <f aca="false">Vega_C</f>
        <v>33.1927295336754</v>
      </c>
    </row>
    <row r="11" customFormat="false" ht="19.5" hidden="false" customHeight="true" outlineLevel="0" collapsed="false">
      <c r="A11" s="60" t="s">
        <v>263</v>
      </c>
      <c r="B11" s="60"/>
      <c r="C11" s="60"/>
      <c r="D11" s="60"/>
      <c r="E11" s="60"/>
      <c r="F11" s="60"/>
      <c r="G11" s="60"/>
      <c r="H11" s="60"/>
    </row>
    <row r="12" customFormat="false" ht="30" hidden="false" customHeight="true" outlineLevel="0" collapsed="false">
      <c r="A12" s="19" t="s">
        <v>264</v>
      </c>
      <c r="B12" s="19"/>
      <c r="C12" s="19"/>
      <c r="D12" s="19"/>
      <c r="E12" s="19"/>
      <c r="F12" s="19"/>
      <c r="G12" s="19"/>
      <c r="H12" s="19"/>
    </row>
    <row r="13" customFormat="false" ht="15" hidden="false" customHeight="false" outlineLevel="0" collapsed="false">
      <c r="B13" s="63" t="s">
        <v>265</v>
      </c>
      <c r="C13" s="63" t="s">
        <v>266</v>
      </c>
      <c r="D13" s="63" t="s">
        <v>267</v>
      </c>
      <c r="E13" s="63"/>
      <c r="F13" s="63" t="s">
        <v>268</v>
      </c>
    </row>
    <row r="14" customFormat="false" ht="15" hidden="false" customHeight="false" outlineLevel="0" collapsed="false">
      <c r="B14" s="21" t="s">
        <v>269</v>
      </c>
      <c r="C14" s="34" t="n">
        <f aca="false">D8</f>
        <v>0.0379882892309145</v>
      </c>
      <c r="D14" s="34" t="n">
        <f aca="false">E8</f>
        <v>0.0165963647668377</v>
      </c>
      <c r="F14" s="28" t="n">
        <f aca="false">N_short*C8</f>
        <v>27.358658565221</v>
      </c>
    </row>
    <row r="15" customFormat="false" ht="15" hidden="false" customHeight="false" outlineLevel="0" collapsed="false">
      <c r="B15" s="21" t="s">
        <v>270</v>
      </c>
      <c r="C15" s="28" t="n">
        <f aca="false">D9</f>
        <v>18.9941446154573</v>
      </c>
      <c r="D15" s="28" t="n">
        <f aca="false">E9</f>
        <v>33.1927295336754</v>
      </c>
      <c r="F15" s="27" t="n">
        <f aca="false">N_short*C9</f>
        <v>27358.658565221</v>
      </c>
    </row>
    <row r="17" customFormat="false" ht="19.5" hidden="false" customHeight="true" outlineLevel="0" collapsed="false">
      <c r="A17" s="60" t="s">
        <v>271</v>
      </c>
      <c r="B17" s="60"/>
      <c r="C17" s="60"/>
      <c r="D17" s="60"/>
      <c r="E17" s="60"/>
      <c r="F17" s="60"/>
      <c r="G17" s="60"/>
      <c r="H17" s="60"/>
    </row>
    <row r="18" customFormat="false" ht="15" hidden="false" customHeight="false" outlineLevel="0" collapsed="false">
      <c r="B18" s="21" t="s">
        <v>272</v>
      </c>
      <c r="C18" s="28" t="n">
        <f aca="false">MDETERM(C14:D15)</f>
        <v>0.945701257416585</v>
      </c>
    </row>
    <row r="19" customFormat="false" ht="23.85" hidden="false" customHeight="false" outlineLevel="0" collapsed="false">
      <c r="B19" s="21" t="s">
        <v>273</v>
      </c>
      <c r="C19" s="64" t="n">
        <f aca="false" t="array" ref="C19:D20">MINVERSE(C14:D15)</f>
        <v>35.0985358995392</v>
      </c>
      <c r="D19" s="64" t="n">
        <v>-0.0175492679497696</v>
      </c>
    </row>
    <row r="20" customFormat="false" ht="15" hidden="false" customHeight="false" outlineLevel="0" collapsed="false">
      <c r="B20" s="21"/>
      <c r="C20" s="64" t="n">
        <v>-20.0847196368803</v>
      </c>
      <c r="D20" s="64" t="n">
        <v>0.0401694392737606</v>
      </c>
    </row>
    <row r="21" customFormat="false" ht="23.85" hidden="false" customHeight="false" outlineLevel="0" collapsed="false">
      <c r="B21" s="21" t="s">
        <v>274</v>
      </c>
      <c r="C21" s="65" t="n">
        <f aca="false" t="array" ref="C21:C22">MMULT(MINVERSE(C14:D15),F14:F15)</f>
        <v>480.124429907322</v>
      </c>
      <c r="D21" s="58" t="s">
        <v>275</v>
      </c>
      <c r="E21" s="27" t="n">
        <f aca="false">(F14*D15-D14*F15)/C18</f>
        <v>480.124429907323</v>
      </c>
    </row>
    <row r="22" customFormat="false" ht="15" hidden="false" customHeight="false" outlineLevel="0" collapsed="false">
      <c r="B22" s="21" t="s">
        <v>276</v>
      </c>
      <c r="C22" s="65" t="n">
        <v>549.490986923597</v>
      </c>
      <c r="E22" s="27" t="n">
        <f aca="false">(C14*F15-C15*F14)/C18</f>
        <v>549.490986923597</v>
      </c>
    </row>
    <row r="24" customFormat="false" ht="19.5" hidden="false" customHeight="true" outlineLevel="0" collapsed="false">
      <c r="A24" s="60" t="s">
        <v>277</v>
      </c>
      <c r="B24" s="60"/>
      <c r="C24" s="60"/>
      <c r="D24" s="60"/>
      <c r="E24" s="60"/>
      <c r="F24" s="60"/>
      <c r="G24" s="60"/>
      <c r="H24" s="60"/>
    </row>
    <row r="25" customFormat="false" ht="23.85" hidden="false" customHeight="false" outlineLevel="0" collapsed="false">
      <c r="B25" s="21" t="s">
        <v>278</v>
      </c>
      <c r="C25" s="27" t="n">
        <f aca="false">-N_short*C7+nB*D7+nC*E7</f>
        <v>-16.6691383599295</v>
      </c>
    </row>
    <row r="26" customFormat="false" ht="15" hidden="false" customHeight="false" outlineLevel="0" collapsed="false">
      <c r="B26" s="35" t="s">
        <v>279</v>
      </c>
      <c r="C26" s="44" t="n">
        <f aca="false">-C25</f>
        <v>16.6691383599295</v>
      </c>
    </row>
    <row r="28" customFormat="false" ht="19.5" hidden="false" customHeight="true" outlineLevel="0" collapsed="false">
      <c r="A28" s="60" t="s">
        <v>280</v>
      </c>
      <c r="B28" s="60"/>
      <c r="C28" s="60"/>
      <c r="D28" s="60"/>
      <c r="E28" s="60"/>
      <c r="F28" s="60"/>
      <c r="G28" s="60"/>
      <c r="H28" s="60"/>
    </row>
    <row r="29" customFormat="false" ht="15" hidden="false" customHeight="false" outlineLevel="0" collapsed="false">
      <c r="B29" s="63" t="s">
        <v>281</v>
      </c>
      <c r="C29" s="63" t="s">
        <v>143</v>
      </c>
      <c r="D29" s="63" t="s">
        <v>65</v>
      </c>
      <c r="E29" s="63" t="s">
        <v>261</v>
      </c>
      <c r="F29" s="63" t="s">
        <v>262</v>
      </c>
    </row>
    <row r="30" customFormat="false" ht="15" hidden="false" customHeight="false" outlineLevel="0" collapsed="false">
      <c r="B30" s="21" t="s">
        <v>282</v>
      </c>
      <c r="C30" s="27" t="n">
        <f aca="false">-N_short</f>
        <v>-1000</v>
      </c>
      <c r="D30" s="27" t="n">
        <f aca="false">C30*C7</f>
        <v>-597.734468908438</v>
      </c>
      <c r="E30" s="28" t="n">
        <f aca="false">C30*C8</f>
        <v>-27.358658565221</v>
      </c>
      <c r="F30" s="27" t="n">
        <f aca="false">C30*C9</f>
        <v>-27358.658565221</v>
      </c>
    </row>
    <row r="31" customFormat="false" ht="15" hidden="false" customHeight="false" outlineLevel="0" collapsed="false">
      <c r="B31" s="21" t="s">
        <v>283</v>
      </c>
      <c r="C31" s="27" t="n">
        <f aca="false">nB</f>
        <v>480.124429907322</v>
      </c>
      <c r="D31" s="27" t="n">
        <f aca="false">C31*D7</f>
        <v>181.092225851668</v>
      </c>
      <c r="E31" s="28" t="n">
        <f aca="false">C31*D8</f>
        <v>18.2391057101473</v>
      </c>
      <c r="F31" s="27" t="n">
        <f aca="false">C31*D9</f>
        <v>9119.55285507366</v>
      </c>
    </row>
    <row r="32" customFormat="false" ht="15" hidden="false" customHeight="false" outlineLevel="0" collapsed="false">
      <c r="B32" s="21" t="s">
        <v>284</v>
      </c>
      <c r="C32" s="27" t="n">
        <f aca="false">nC</f>
        <v>549.490986923597</v>
      </c>
      <c r="D32" s="27" t="n">
        <f aca="false">C32*E7</f>
        <v>399.97310469684</v>
      </c>
      <c r="E32" s="28" t="n">
        <f aca="false">C32*E8</f>
        <v>9.11955285507366</v>
      </c>
      <c r="F32" s="27" t="n">
        <f aca="false">C32*E9</f>
        <v>18239.1057101473</v>
      </c>
    </row>
    <row r="33" customFormat="false" ht="15" hidden="false" customHeight="false" outlineLevel="0" collapsed="false">
      <c r="B33" s="21" t="s">
        <v>151</v>
      </c>
      <c r="C33" s="27" t="n">
        <f aca="false">sh_gv</f>
        <v>16.6691383599295</v>
      </c>
      <c r="D33" s="27" t="n">
        <f aca="false">C33</f>
        <v>16.6691383599295</v>
      </c>
      <c r="E33" s="43" t="n">
        <v>0</v>
      </c>
      <c r="F33" s="66" t="n">
        <v>0</v>
      </c>
    </row>
    <row r="34" customFormat="false" ht="15" hidden="false" customHeight="false" outlineLevel="0" collapsed="false">
      <c r="B34" s="35" t="s">
        <v>285</v>
      </c>
      <c r="D34" s="67" t="n">
        <f aca="false">ROUND(SUM(D30:D33),6)</f>
        <v>0</v>
      </c>
      <c r="E34" s="68" t="n">
        <f aca="false">ROUND(SUM(E30:E33),6)</f>
        <v>0</v>
      </c>
      <c r="F34" s="67" t="n">
        <f aca="false">ROUND(SUM(F30:F33),6)</f>
        <v>0</v>
      </c>
    </row>
    <row r="36" customFormat="false" ht="19.5" hidden="false" customHeight="true" outlineLevel="0" collapsed="false">
      <c r="A36" s="60" t="s">
        <v>286</v>
      </c>
      <c r="B36" s="60"/>
      <c r="C36" s="60"/>
      <c r="D36" s="60"/>
      <c r="E36" s="60"/>
      <c r="F36" s="60"/>
      <c r="G36" s="60"/>
      <c r="H36" s="60"/>
    </row>
    <row r="37" customFormat="false" ht="15" hidden="false" customHeight="false" outlineLevel="0" collapsed="false">
      <c r="B37" s="63" t="s">
        <v>287</v>
      </c>
      <c r="C37" s="63" t="s">
        <v>288</v>
      </c>
      <c r="D37" s="63" t="s">
        <v>289</v>
      </c>
      <c r="E37" s="63" t="s">
        <v>290</v>
      </c>
      <c r="F37" s="63" t="s">
        <v>291</v>
      </c>
      <c r="G37" s="63" t="s">
        <v>292</v>
      </c>
    </row>
    <row r="38" customFormat="false" ht="15" hidden="false" customHeight="false" outlineLevel="0" collapsed="false">
      <c r="B38" s="29" t="n">
        <v>105</v>
      </c>
      <c r="C38" s="31" t="n">
        <v>0.22</v>
      </c>
      <c r="D38" s="52" t="n">
        <f aca="false">-N_short*(($B38*_xlfn.NORM.S.DIST((LN($B38/K_A)+(r+$C38^2/2)*T_A)/($C38*SQRT(T_A)),TRUE())-K_A*EXP(-r*T_A)*_xlfn.NORM.S.DIST((LN($B38/K_A)+(r+$C38^2/2)*T_A)/($C38*SQRT(T_A))-$C38*SQRT(T_A),TRUE()))-C0_A)</f>
        <v>-3815.63441130362</v>
      </c>
      <c r="E38" s="52" t="n">
        <f aca="false">D38+h_shares*($B38-S0)</f>
        <v>-826.962066761428</v>
      </c>
      <c r="F38" s="52" t="n">
        <f aca="false">D38+nB_gamma*(($B38*_xlfn.NORM.S.DIST((LN($B38/K_B)+(r+$C38^2/2)*T_B)/($C38*SQRT(T_B)),TRUE())-K_B*EXP(-r*T_B)*_xlfn.NORM.S.DIST((LN($B38/K_B)+(r+$C38^2/2)*T_B)/($C38*SQRT(T_B))-$C38*SQRT(T_B),TRUE()))-C0_B)+sh_gamma*($B38-S0)</f>
        <v>-182.596356527759</v>
      </c>
      <c r="G38" s="69" t="n">
        <f aca="false">D38+nB*(($B38*_xlfn.NORM.S.DIST((LN($B38/K_B)+(r+$C38^2/2)*T_B)/($C38*SQRT(T_B)),TRUE())-K_B*EXP(-r*T_B)*_xlfn.NORM.S.DIST((LN($B38/K_B)+(r+$C38^2/2)*T_B)/($C38*SQRT(T_B))-$C38*SQRT(T_B),TRUE()))-C0_B)+nC*(($B38*_xlfn.NORM.S.DIST((LN($B38/K_C)+(r+$C38^2/2)*T_C)/($C38*SQRT(T_C)),TRUE())-K_C*EXP(-r*T_C)*_xlfn.NORM.S.DIST((LN($B38/K_C)+(r+$C38^2/2)*T_C)/($C38*SQRT(T_C))-$C38*SQRT(T_C),TRUE()))-C0_C)+sh_gv*($B38-S0)</f>
        <v>37.7302474680837</v>
      </c>
    </row>
    <row r="39" customFormat="false" ht="15" hidden="false" customHeight="false" outlineLevel="0" collapsed="false">
      <c r="B39" s="29" t="n">
        <v>95</v>
      </c>
      <c r="C39" s="31" t="n">
        <v>0.18</v>
      </c>
      <c r="D39" s="52" t="n">
        <f aca="false">-N_short*(($B39*_xlfn.NORM.S.DIST((LN($B39/K_A)+(r+$C39^2/2)*T_A)/($C39*SQRT(T_A)),TRUE())-K_A*EXP(-r*T_A)*_xlfn.NORM.S.DIST((LN($B39/K_A)+(r+$C39^2/2)*T_A)/($C39*SQRT(T_A))-$C39*SQRT(T_A),TRUE()))-C0_A)</f>
        <v>3165.72985344518</v>
      </c>
      <c r="E39" s="52" t="n">
        <f aca="false">D39+h_shares*($B39-S0)</f>
        <v>177.057508902987</v>
      </c>
      <c r="F39" s="52" t="n">
        <f aca="false">D39+nB_gamma*(($B39*_xlfn.NORM.S.DIST((LN($B39/K_B)+(r+$C39^2/2)*T_B)/($C39*SQRT(T_B)),TRUE())-K_B*EXP(-r*T_B)*_xlfn.NORM.S.DIST((LN($B39/K_B)+(r+$C39^2/2)*T_B)/($C39*SQRT(T_B))-$C39*SQRT(T_B),TRUE()))-C0_B)+sh_gamma*($B39-S0)</f>
        <v>314.298144718954</v>
      </c>
      <c r="G39" s="69" t="n">
        <f aca="false">D39+nB*(($B39*_xlfn.NORM.S.DIST((LN($B39/K_B)+(r+$C39^2/2)*T_B)/($C39*SQRT(T_B)),TRUE())-K_B*EXP(-r*T_B)*_xlfn.NORM.S.DIST((LN($B39/K_B)+(r+$C39^2/2)*T_B)/($C39*SQRT(T_B))-$C39*SQRT(T_B),TRUE()))-C0_B)+nC*(($B39*_xlfn.NORM.S.DIST((LN($B39/K_C)+(r+$C39^2/2)*T_C)/($C39*SQRT(T_C)),TRUE())-K_C*EXP(-r*T_C)*_xlfn.NORM.S.DIST((LN($B39/K_C)+(r+$C39^2/2)*T_C)/($C39*SQRT(T_C))-$C39*SQRT(T_C),TRUE()))-C0_C)+sh_gv*($B39-S0)</f>
        <v>-0.563728732068284</v>
      </c>
    </row>
    <row r="40" customFormat="false" ht="15" hidden="false" customHeight="false" outlineLevel="0" collapsed="false">
      <c r="B40" s="29" t="n">
        <v>110</v>
      </c>
      <c r="C40" s="31" t="n">
        <v>0.25</v>
      </c>
      <c r="D40" s="52" t="n">
        <f aca="false">-N_short*(($B40*_xlfn.NORM.S.DIST((LN($B40/K_A)+(r+$C40^2/2)*T_A)/($C40*SQRT(T_A)),TRUE())-K_A*EXP(-r*T_A)*_xlfn.NORM.S.DIST((LN($B40/K_A)+(r+$C40^2/2)*T_A)/($C40*SQRT(T_A))-$C40*SQRT(T_A),TRUE()))-C0_A)</f>
        <v>-8277.65503055383</v>
      </c>
      <c r="E40" s="52" t="n">
        <f aca="false">D40+h_shares*($B40-S0)</f>
        <v>-2300.31034146945</v>
      </c>
      <c r="F40" s="52" t="n">
        <f aca="false">D40+nB_gamma*(($B40*_xlfn.NORM.S.DIST((LN($B40/K_B)+(r+$C40^2/2)*T_B)/($C40*SQRT(T_B)),TRUE())-K_B*EXP(-r*T_B)*_xlfn.NORM.S.DIST((LN($B40/K_B)+(r+$C40^2/2)*T_B)/($C40*SQRT(T_B))-$C40*SQRT(T_B),TRUE()))-C0_B)+sh_gamma*($B40-S0)</f>
        <v>-277.254063098526</v>
      </c>
      <c r="G40" s="69" t="n">
        <f aca="false">D40+nB*(($B40*_xlfn.NORM.S.DIST((LN($B40/K_B)+(r+$C40^2/2)*T_B)/($C40*SQRT(T_B)),TRUE())-K_B*EXP(-r*T_B)*_xlfn.NORM.S.DIST((LN($B40/K_B)+(r+$C40^2/2)*T_B)/($C40*SQRT(T_B))-$C40*SQRT(T_B),TRUE()))-C0_B)+nC*(($B40*_xlfn.NORM.S.DIST((LN($B40/K_C)+(r+$C40^2/2)*T_C)/($C40*SQRT(T_C)),TRUE())-K_C*EXP(-r*T_C)*_xlfn.NORM.S.DIST((LN($B40/K_C)+(r+$C40^2/2)*T_C)/($C40*SQRT(T_C))-$C40*SQRT(T_C),TRUE()))-C0_C)+sh_gv*($B40-S0)</f>
        <v>181.637908051975</v>
      </c>
    </row>
    <row r="41" customFormat="false" ht="15" hidden="false" customHeight="false" outlineLevel="0" collapsed="false">
      <c r="B41" s="29" t="n">
        <v>100</v>
      </c>
      <c r="C41" s="31" t="n">
        <v>0.25</v>
      </c>
      <c r="D41" s="52" t="n">
        <f aca="false">-N_short*(($B41*_xlfn.NORM.S.DIST((LN($B41/K_A)+(r+$C41^2/2)*T_A)/($C41*SQRT(T_A)),TRUE())-K_A*EXP(-r*T_A)*_xlfn.NORM.S.DIST((LN($B41/K_A)+(r+$C41^2/2)*T_A)/($C41*SQRT(T_A))-$C41*SQRT(T_A),TRUE()))-C0_A)</f>
        <v>-1371.28662166261</v>
      </c>
      <c r="E41" s="52" t="n">
        <f aca="false">D41+h_shares*($B41-S0)</f>
        <v>-1371.28662166261</v>
      </c>
      <c r="F41" s="52" t="n">
        <f aca="false">D41+nB_gamma*(($B41*_xlfn.NORM.S.DIST((LN($B41/K_B)+(r+$C41^2/2)*T_B)/($C41*SQRT(T_B)),TRUE())-K_B*EXP(-r*T_B)*_xlfn.NORM.S.DIST((LN($B41/K_B)+(r+$C41^2/2)*T_B)/($C41*SQRT(T_B))-$C41*SQRT(T_B),TRUE()))-C0_B)+sh_gamma*($B41-S0)</f>
        <v>-678.472411231369</v>
      </c>
      <c r="G41" s="69" t="n">
        <f aca="false">D41+nB*(($B41*_xlfn.NORM.S.DIST((LN($B41/K_B)+(r+$C41^2/2)*T_B)/($C41*SQRT(T_B)),TRUE())-K_B*EXP(-r*T_B)*_xlfn.NORM.S.DIST((LN($B41/K_B)+(r+$C41^2/2)*T_B)/($C41*SQRT(T_B))-$C41*SQRT(T_B),TRUE()))-C0_B)+nC*(($B41*_xlfn.NORM.S.DIST((LN($B41/K_C)+(r+$C41^2/2)*T_C)/($C41*SQRT(T_C)),TRUE())-K_C*EXP(-r*T_C)*_xlfn.NORM.S.DIST((LN($B41/K_C)+(r+$C41^2/2)*T_C)/($C41*SQRT(T_C))-$C41*SQRT(T_C),TRUE()))-C0_C)+sh_gv*($B41-S0)</f>
        <v>25.0458631244305</v>
      </c>
    </row>
    <row r="42" customFormat="false" ht="15" hidden="false" customHeight="false" outlineLevel="0" collapsed="false">
      <c r="B42" s="29" t="n">
        <v>90</v>
      </c>
      <c r="C42" s="31" t="n">
        <v>0.15</v>
      </c>
      <c r="D42" s="52" t="n">
        <f aca="false">-N_short*(($B42*_xlfn.NORM.S.DIST((LN($B42/K_A)+(r+$C42^2/2)*T_A)/($C42*SQRT(T_A)),TRUE())-K_A*EXP(-r*T_A)*_xlfn.NORM.S.DIST((LN($B42/K_A)+(r+$C42^2/2)*T_A)/($C42*SQRT(T_A))-$C42*SQRT(T_A),TRUE()))-C0_A)</f>
        <v>5603.46276975515</v>
      </c>
      <c r="E42" s="52" t="n">
        <f aca="false">D42+h_shares*($B42-S0)</f>
        <v>-373.881919329233</v>
      </c>
      <c r="F42" s="52" t="n">
        <f aca="false">D42+nB_gamma*(($B42*_xlfn.NORM.S.DIST((LN($B42/K_B)+(r+$C42^2/2)*T_B)/($C42*SQRT(T_B)),TRUE())-K_B*EXP(-r*T_B)*_xlfn.NORM.S.DIST((LN($B42/K_B)+(r+$C42^2/2)*T_B)/($C42*SQRT(T_B))-$C42*SQRT(T_B),TRUE()))-C0_B)+sh_gamma*($B42-S0)</f>
        <v>617.318415537785</v>
      </c>
      <c r="G42" s="69" t="n">
        <f aca="false">D42+nB*(($B42*_xlfn.NORM.S.DIST((LN($B42/K_B)+(r+$C42^2/2)*T_B)/($C42*SQRT(T_B)),TRUE())-K_B*EXP(-r*T_B)*_xlfn.NORM.S.DIST((LN($B42/K_B)+(r+$C42^2/2)*T_B)/($C42*SQRT(T_B))-$C42*SQRT(T_B),TRUE()))-C0_B)+nC*(($B42*_xlfn.NORM.S.DIST((LN($B42/K_C)+(r+$C42^2/2)*T_C)/($C42*SQRT(T_C)),TRUE())-K_C*EXP(-r*T_C)*_xlfn.NORM.S.DIST((LN($B42/K_C)+(r+$C42^2/2)*T_C)/($C42*SQRT(T_C))-$C42*SQRT(T_C),TRUE()))-C0_C)+sh_gv*($B42-S0)</f>
        <v>-184.143413441775</v>
      </c>
    </row>
  </sheetData>
  <mergeCells count="9">
    <mergeCell ref="A1:H1"/>
    <mergeCell ref="A2:H2"/>
    <mergeCell ref="A5:H5"/>
    <mergeCell ref="A11:H11"/>
    <mergeCell ref="A12:H12"/>
    <mergeCell ref="A17:H17"/>
    <mergeCell ref="A24:H24"/>
    <mergeCell ref="A28:H28"/>
    <mergeCell ref="A36:H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A5568"/>
    <pageSetUpPr fitToPage="fals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6"/>
    <col collapsed="false" customWidth="true" hidden="false" outlineLevel="0" max="6" min="3" style="0" width="16"/>
    <col collapsed="false" customWidth="true" hidden="false" outlineLevel="0" max="8" min="7" style="0" width="13"/>
  </cols>
  <sheetData>
    <row r="1" customFormat="false" ht="27.75" hidden="false" customHeight="true" outlineLevel="0" collapsed="false">
      <c r="A1" s="70" t="s">
        <v>293</v>
      </c>
      <c r="B1" s="70"/>
      <c r="C1" s="70"/>
      <c r="D1" s="70"/>
      <c r="E1" s="70"/>
      <c r="F1" s="70"/>
      <c r="G1" s="70"/>
      <c r="H1" s="70"/>
    </row>
    <row r="2" customFormat="false" ht="15" hidden="false" customHeight="false" outlineLevel="0" collapsed="false">
      <c r="A2" s="2" t="s">
        <v>294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71" t="s">
        <v>295</v>
      </c>
      <c r="B5" s="71"/>
      <c r="C5" s="71"/>
      <c r="D5" s="71"/>
      <c r="E5" s="71"/>
      <c r="F5" s="71"/>
      <c r="G5" s="71"/>
      <c r="H5" s="71"/>
    </row>
    <row r="6" customFormat="false" ht="15" hidden="false" customHeight="false" outlineLevel="0" collapsed="false">
      <c r="B6" s="21" t="s">
        <v>296</v>
      </c>
      <c r="C6" s="23" t="n">
        <f aca="false">Inputs_BS!C28</f>
        <v>-8.11596762870236</v>
      </c>
    </row>
    <row r="7" customFormat="false" ht="15" hidden="false" customHeight="false" outlineLevel="0" collapsed="false">
      <c r="B7" s="21" t="s">
        <v>297</v>
      </c>
      <c r="C7" s="28" t="n">
        <f aca="false">C6/365</f>
        <v>-0.0222355277498695</v>
      </c>
    </row>
    <row r="8" customFormat="false" ht="15" hidden="false" customHeight="false" outlineLevel="0" collapsed="false">
      <c r="B8" s="21" t="s">
        <v>298</v>
      </c>
      <c r="C8" s="47" t="n">
        <f aca="false">-N_short*C7</f>
        <v>22.2355277498695</v>
      </c>
    </row>
    <row r="10" customFormat="false" ht="19.5" hidden="false" customHeight="true" outlineLevel="0" collapsed="false">
      <c r="A10" s="71" t="s">
        <v>299</v>
      </c>
      <c r="B10" s="71"/>
      <c r="C10" s="71"/>
      <c r="D10" s="71"/>
      <c r="E10" s="71"/>
      <c r="F10" s="71"/>
      <c r="G10" s="71"/>
      <c r="H10" s="71"/>
    </row>
    <row r="11" customFormat="false" ht="15" hidden="false" customHeight="false" outlineLevel="0" collapsed="false">
      <c r="B11" s="21" t="s">
        <v>300</v>
      </c>
      <c r="C11" s="28" t="n">
        <f aca="false">C6</f>
        <v>-8.11596762870236</v>
      </c>
    </row>
    <row r="12" customFormat="false" ht="15" hidden="false" customHeight="false" outlineLevel="0" collapsed="false">
      <c r="B12" s="21" t="s">
        <v>301</v>
      </c>
      <c r="C12" s="28" t="n">
        <f aca="false">r*S0*Delta_A</f>
        <v>2.98867234454219</v>
      </c>
    </row>
    <row r="13" customFormat="false" ht="15" hidden="false" customHeight="false" outlineLevel="0" collapsed="false">
      <c r="B13" s="21" t="s">
        <v>302</v>
      </c>
      <c r="C13" s="28" t="n">
        <f aca="false">0.5*sigma^2*S0^2*Gamma_A</f>
        <v>5.4717317130442</v>
      </c>
    </row>
    <row r="14" customFormat="false" ht="15" hidden="false" customHeight="false" outlineLevel="0" collapsed="false">
      <c r="B14" s="35" t="s">
        <v>303</v>
      </c>
      <c r="C14" s="39" t="n">
        <f aca="false">SUM(C11:C13)</f>
        <v>0.344436428884032</v>
      </c>
    </row>
    <row r="15" customFormat="false" ht="15" hidden="false" customHeight="false" outlineLevel="0" collapsed="false">
      <c r="B15" s="35" t="s">
        <v>304</v>
      </c>
      <c r="C15" s="39" t="n">
        <f aca="false">r*C0_A</f>
        <v>0.344436428884031</v>
      </c>
    </row>
    <row r="16" customFormat="false" ht="15" hidden="false" customHeight="false" outlineLevel="0" collapsed="false">
      <c r="B16" s="21" t="s">
        <v>305</v>
      </c>
      <c r="C16" s="72" t="n">
        <f aca="false">C14-C15</f>
        <v>0</v>
      </c>
    </row>
    <row r="18" customFormat="false" ht="57.75" hidden="false" customHeight="true" outlineLevel="0" collapsed="false">
      <c r="A18" s="73" t="s">
        <v>306</v>
      </c>
      <c r="B18" s="73"/>
      <c r="C18" s="73"/>
      <c r="D18" s="73"/>
      <c r="E18" s="73"/>
      <c r="F18" s="73"/>
      <c r="G18" s="73"/>
      <c r="H18" s="73"/>
    </row>
    <row r="20" customFormat="false" ht="19.5" hidden="false" customHeight="true" outlineLevel="0" collapsed="false">
      <c r="A20" s="74" t="s">
        <v>307</v>
      </c>
      <c r="B20" s="74"/>
      <c r="C20" s="74"/>
      <c r="D20" s="74"/>
      <c r="E20" s="74"/>
      <c r="F20" s="74"/>
      <c r="G20" s="74"/>
      <c r="H20" s="74"/>
    </row>
    <row r="21" customFormat="false" ht="15" hidden="false" customHeight="false" outlineLevel="0" collapsed="false">
      <c r="B21" s="21" t="s">
        <v>308</v>
      </c>
      <c r="C21" s="23" t="n">
        <f aca="false">Inputs_BS!C31</f>
        <v>0.264423591565816</v>
      </c>
    </row>
    <row r="22" customFormat="false" ht="15" hidden="false" customHeight="false" outlineLevel="0" collapsed="false">
      <c r="B22" s="21" t="s">
        <v>309</v>
      </c>
      <c r="C22" s="23" t="n">
        <f aca="false">Vega1_A</f>
        <v>0.27358658565221</v>
      </c>
    </row>
    <row r="23" customFormat="false" ht="15" hidden="false" customHeight="false" outlineLevel="0" collapsed="false">
      <c r="B23" s="21" t="s">
        <v>310</v>
      </c>
      <c r="C23" s="29" t="n">
        <v>0.25</v>
      </c>
    </row>
    <row r="24" customFormat="false" ht="15" hidden="false" customHeight="false" outlineLevel="0" collapsed="false">
      <c r="B24" s="21" t="s">
        <v>311</v>
      </c>
      <c r="C24" s="29" t="n">
        <v>5</v>
      </c>
    </row>
    <row r="25" customFormat="false" ht="15" hidden="false" customHeight="false" outlineLevel="0" collapsed="false">
      <c r="B25" s="21" t="s">
        <v>312</v>
      </c>
      <c r="C25" s="47" t="n">
        <f aca="false">-N_short*C21*C23</f>
        <v>-66.105897891454</v>
      </c>
    </row>
    <row r="26" customFormat="false" ht="15" hidden="false" customHeight="false" outlineLevel="0" collapsed="false">
      <c r="B26" s="21" t="s">
        <v>313</v>
      </c>
      <c r="C26" s="47" t="n">
        <f aca="false">-N_short*C22*C24</f>
        <v>-1367.93292826105</v>
      </c>
    </row>
    <row r="28" customFormat="false" ht="45" hidden="false" customHeight="true" outlineLevel="0" collapsed="false">
      <c r="A28" s="50" t="s">
        <v>314</v>
      </c>
      <c r="B28" s="50"/>
      <c r="C28" s="50"/>
      <c r="D28" s="50"/>
      <c r="E28" s="50"/>
      <c r="F28" s="50"/>
      <c r="G28" s="50"/>
      <c r="H28" s="50"/>
    </row>
  </sheetData>
  <mergeCells count="7">
    <mergeCell ref="A1:H1"/>
    <mergeCell ref="A2:H2"/>
    <mergeCell ref="A5:H5"/>
    <mergeCell ref="A10:H10"/>
    <mergeCell ref="A18:H18"/>
    <mergeCell ref="A20:H20"/>
    <mergeCell ref="A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fals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6"/>
    <col collapsed="false" customWidth="true" hidden="false" outlineLevel="0" max="6" min="3" style="0" width="16"/>
    <col collapsed="false" customWidth="true" hidden="false" outlineLevel="0" max="8" min="7" style="0" width="13"/>
  </cols>
  <sheetData>
    <row r="1" customFormat="false" ht="27.75" hidden="false" customHeight="true" outlineLevel="0" collapsed="false">
      <c r="A1" s="1" t="s">
        <v>315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316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9.5" hidden="false" customHeight="true" outlineLevel="0" collapsed="false">
      <c r="A5" s="37" t="s">
        <v>317</v>
      </c>
      <c r="B5" s="37"/>
      <c r="C5" s="37"/>
      <c r="D5" s="37"/>
      <c r="E5" s="37"/>
      <c r="F5" s="37"/>
      <c r="G5" s="37"/>
      <c r="H5" s="37"/>
    </row>
    <row r="6" customFormat="false" ht="15" hidden="false" customHeight="false" outlineLevel="0" collapsed="false">
      <c r="B6" s="21" t="s">
        <v>318</v>
      </c>
      <c r="C6" s="32" t="n">
        <v>2000</v>
      </c>
    </row>
    <row r="7" customFormat="false" ht="15" hidden="false" customHeight="false" outlineLevel="0" collapsed="false">
      <c r="B7" s="21" t="s">
        <v>319</v>
      </c>
      <c r="C7" s="23" t="n">
        <f aca="false">Inputs_BS!C22</f>
        <v>4.41971978051388</v>
      </c>
    </row>
    <row r="8" customFormat="false" ht="15" hidden="false" customHeight="false" outlineLevel="0" collapsed="false">
      <c r="B8" s="21" t="s">
        <v>138</v>
      </c>
      <c r="C8" s="23" t="n">
        <f aca="false">Delta_A-1</f>
        <v>-0.402265531091562</v>
      </c>
    </row>
    <row r="9" customFormat="false" ht="15" hidden="false" customHeight="false" outlineLevel="0" collapsed="false">
      <c r="B9" s="35" t="s">
        <v>320</v>
      </c>
      <c r="C9" s="44" t="n">
        <f aca="false">-C6*C8</f>
        <v>804.531062183123</v>
      </c>
    </row>
    <row r="10" customFormat="false" ht="15" hidden="false" customHeight="false" outlineLevel="0" collapsed="false">
      <c r="B10" s="35" t="s">
        <v>321</v>
      </c>
      <c r="C10" s="44" t="n">
        <f aca="false">-C9</f>
        <v>-804.531062183123</v>
      </c>
    </row>
    <row r="11" customFormat="false" ht="15" hidden="false" customHeight="false" outlineLevel="0" collapsed="false">
      <c r="B11" s="21" t="s">
        <v>322</v>
      </c>
      <c r="C11" s="29" t="n">
        <v>97</v>
      </c>
    </row>
    <row r="12" customFormat="false" ht="15" hidden="false" customHeight="false" outlineLevel="0" collapsed="false">
      <c r="B12" s="21" t="s">
        <v>323</v>
      </c>
      <c r="C12" s="28" t="n">
        <f aca="false">(C11*_xlfn.NORM.S.DIST((LN(C11/K_A)+(r+sigma^2/2)*T_A)/(sigma*SQRT(T_A)),TRUE())-K_A*EXP(-r*T_A)*_xlfn.NORM.S.DIST((LN(C11/K_A)+(r+sigma^2/2)*T_A)/(sigma*SQRT(T_A))-sigma*SQRT(T_A),TRUE()))-C11+K_A*EXP(-r*T_A)</f>
        <v>5.75262191148076</v>
      </c>
    </row>
    <row r="13" customFormat="false" ht="15" hidden="false" customHeight="false" outlineLevel="0" collapsed="false">
      <c r="B13" s="21" t="s">
        <v>324</v>
      </c>
      <c r="C13" s="47" t="n">
        <f aca="false">-C6*(C12-C7)</f>
        <v>-2665.80426193376</v>
      </c>
    </row>
    <row r="14" customFormat="false" ht="15" hidden="false" customHeight="false" outlineLevel="0" collapsed="false">
      <c r="B14" s="21" t="s">
        <v>325</v>
      </c>
      <c r="C14" s="47" t="n">
        <f aca="false">C10*(C11-S0)</f>
        <v>2413.59318654937</v>
      </c>
    </row>
    <row r="15" customFormat="false" ht="15" hidden="false" customHeight="false" outlineLevel="0" collapsed="false">
      <c r="B15" s="35" t="s">
        <v>326</v>
      </c>
      <c r="C15" s="48" t="n">
        <f aca="false">C13+C14</f>
        <v>-252.211075384388</v>
      </c>
    </row>
    <row r="16" customFormat="false" ht="15" hidden="false" customHeight="false" outlineLevel="0" collapsed="false">
      <c r="B16" s="21" t="s">
        <v>327</v>
      </c>
      <c r="C16" s="28" t="n">
        <f aca="false">_xlfn.NORM.S.DIST((LN(C11/K_A)+(r+sigma^2/2)*T_A)/(sigma*SQRT(T_A)),TRUE())-1</f>
        <v>-0.487192861411792</v>
      </c>
    </row>
    <row r="17" customFormat="false" ht="15" hidden="false" customHeight="false" outlineLevel="0" collapsed="false">
      <c r="B17" s="21" t="s">
        <v>328</v>
      </c>
      <c r="C17" s="27" t="n">
        <f aca="false">-C6*C16+C10</f>
        <v>169.854660640461</v>
      </c>
    </row>
    <row r="18" customFormat="false" ht="15" hidden="false" customHeight="false" outlineLevel="0" collapsed="false">
      <c r="B18" s="35" t="s">
        <v>329</v>
      </c>
      <c r="C18" s="44" t="n">
        <f aca="false">-C17</f>
        <v>-169.854660640461</v>
      </c>
    </row>
    <row r="20" customFormat="false" ht="19.5" hidden="false" customHeight="true" outlineLevel="0" collapsed="false">
      <c r="A20" s="4" t="s">
        <v>330</v>
      </c>
      <c r="B20" s="4"/>
      <c r="C20" s="4"/>
      <c r="D20" s="4"/>
      <c r="E20" s="4"/>
      <c r="F20" s="4"/>
      <c r="G20" s="4"/>
      <c r="H20" s="4"/>
    </row>
    <row r="21" customFormat="false" ht="15" hidden="false" customHeight="false" outlineLevel="0" collapsed="false">
      <c r="B21" s="21" t="s">
        <v>331</v>
      </c>
      <c r="C21" s="75" t="n">
        <v>400</v>
      </c>
    </row>
    <row r="22" customFormat="false" ht="15" hidden="false" customHeight="false" outlineLevel="0" collapsed="false">
      <c r="B22" s="21" t="s">
        <v>332</v>
      </c>
      <c r="C22" s="75" t="n">
        <v>-250</v>
      </c>
    </row>
    <row r="23" customFormat="false" ht="15" hidden="false" customHeight="false" outlineLevel="0" collapsed="false">
      <c r="B23" s="21" t="s">
        <v>333</v>
      </c>
      <c r="C23" s="43" t="n">
        <v>0.55</v>
      </c>
    </row>
    <row r="24" customFormat="false" ht="15" hidden="false" customHeight="false" outlineLevel="0" collapsed="false">
      <c r="B24" s="21" t="s">
        <v>334</v>
      </c>
      <c r="C24" s="43" t="n">
        <v>0.025</v>
      </c>
    </row>
    <row r="25" customFormat="false" ht="15" hidden="false" customHeight="false" outlineLevel="0" collapsed="false">
      <c r="B25" s="35" t="s">
        <v>335</v>
      </c>
      <c r="C25" s="76" t="n">
        <f aca="false">-C22/C24</f>
        <v>10000</v>
      </c>
    </row>
    <row r="26" customFormat="false" ht="15" hidden="false" customHeight="false" outlineLevel="0" collapsed="false">
      <c r="B26" s="21" t="s">
        <v>336</v>
      </c>
      <c r="C26" s="77" t="n">
        <f aca="false">C21+C25*C23</f>
        <v>5900</v>
      </c>
    </row>
    <row r="27" customFormat="false" ht="15" hidden="false" customHeight="false" outlineLevel="0" collapsed="false">
      <c r="B27" s="35" t="s">
        <v>337</v>
      </c>
      <c r="C27" s="76" t="n">
        <f aca="false">-C26</f>
        <v>-5900</v>
      </c>
    </row>
    <row r="28" customFormat="false" ht="15" hidden="false" customHeight="false" outlineLevel="0" collapsed="false">
      <c r="B28" s="21" t="s">
        <v>338</v>
      </c>
      <c r="C28" s="28" t="n">
        <f aca="false">C22+C25*C24</f>
        <v>0</v>
      </c>
    </row>
    <row r="29" customFormat="false" ht="15" hidden="false" customHeight="false" outlineLevel="0" collapsed="false">
      <c r="B29" s="21" t="s">
        <v>339</v>
      </c>
      <c r="C29" s="28" t="n">
        <f aca="false">C26+C27</f>
        <v>0</v>
      </c>
    </row>
    <row r="31" customFormat="false" ht="19.5" hidden="false" customHeight="true" outlineLevel="0" collapsed="false">
      <c r="A31" s="60" t="s">
        <v>340</v>
      </c>
      <c r="B31" s="60"/>
      <c r="C31" s="60"/>
      <c r="D31" s="60"/>
      <c r="E31" s="60"/>
      <c r="F31" s="60"/>
      <c r="G31" s="60"/>
      <c r="H31" s="60"/>
    </row>
    <row r="32" customFormat="false" ht="15" hidden="false" customHeight="false" outlineLevel="0" collapsed="false">
      <c r="B32" s="63" t="s">
        <v>87</v>
      </c>
      <c r="C32" s="63" t="s">
        <v>341</v>
      </c>
      <c r="D32" s="63" t="s">
        <v>342</v>
      </c>
      <c r="E32" s="63" t="s">
        <v>343</v>
      </c>
    </row>
    <row r="33" customFormat="false" ht="15" hidden="false" customHeight="false" outlineLevel="0" collapsed="false">
      <c r="B33" s="21" t="s">
        <v>65</v>
      </c>
      <c r="C33" s="78" t="n">
        <v>200</v>
      </c>
      <c r="D33" s="78" t="n">
        <v>0.5</v>
      </c>
      <c r="E33" s="78" t="n">
        <v>0.6</v>
      </c>
    </row>
    <row r="34" customFormat="false" ht="15" hidden="false" customHeight="false" outlineLevel="0" collapsed="false">
      <c r="B34" s="21" t="s">
        <v>261</v>
      </c>
      <c r="C34" s="78" t="n">
        <v>-600</v>
      </c>
      <c r="D34" s="78" t="n">
        <v>0.04</v>
      </c>
      <c r="E34" s="78" t="n">
        <v>0.02</v>
      </c>
    </row>
    <row r="35" customFormat="false" ht="15" hidden="false" customHeight="false" outlineLevel="0" collapsed="false">
      <c r="B35" s="21" t="s">
        <v>344</v>
      </c>
      <c r="C35" s="78" t="n">
        <v>-3000</v>
      </c>
      <c r="D35" s="78" t="n">
        <v>0.1</v>
      </c>
      <c r="E35" s="78" t="n">
        <v>0.25</v>
      </c>
    </row>
    <row r="36" customFormat="false" ht="15" hidden="false" customHeight="false" outlineLevel="0" collapsed="false">
      <c r="E36" s="21" t="s">
        <v>345</v>
      </c>
    </row>
    <row r="37" customFormat="false" ht="15" hidden="false" customHeight="false" outlineLevel="0" collapsed="false">
      <c r="B37" s="21" t="s">
        <v>346</v>
      </c>
      <c r="C37" s="28" t="n">
        <f aca="false">D34</f>
        <v>0.04</v>
      </c>
      <c r="D37" s="28" t="n">
        <f aca="false">E34</f>
        <v>0.02</v>
      </c>
      <c r="E37" s="77" t="n">
        <f aca="false">-C34</f>
        <v>600</v>
      </c>
    </row>
    <row r="38" customFormat="false" ht="15" hidden="false" customHeight="false" outlineLevel="0" collapsed="false">
      <c r="C38" s="28" t="n">
        <f aca="false">D35</f>
        <v>0.1</v>
      </c>
      <c r="D38" s="28" t="n">
        <f aca="false">E35</f>
        <v>0.25</v>
      </c>
      <c r="E38" s="77" t="n">
        <f aca="false">-C35</f>
        <v>3000</v>
      </c>
    </row>
    <row r="39" customFormat="false" ht="15" hidden="false" customHeight="false" outlineLevel="0" collapsed="false">
      <c r="B39" s="21" t="s">
        <v>347</v>
      </c>
      <c r="C39" s="28" t="n">
        <f aca="false">MDETERM(C37:D38)</f>
        <v>0.008</v>
      </c>
    </row>
    <row r="40" customFormat="false" ht="15" hidden="false" customHeight="false" outlineLevel="0" collapsed="false">
      <c r="B40" s="35" t="s">
        <v>348</v>
      </c>
      <c r="C40" s="79" t="n">
        <f aca="false" t="array" ref="C40:C41">MMULT(MINVERSE(C37:D38),E37:E38)</f>
        <v>11250</v>
      </c>
    </row>
    <row r="41" customFormat="false" ht="15" hidden="false" customHeight="false" outlineLevel="0" collapsed="false">
      <c r="B41" s="35" t="s">
        <v>349</v>
      </c>
      <c r="C41" s="79" t="n">
        <v>7500</v>
      </c>
    </row>
    <row r="42" customFormat="false" ht="15" hidden="false" customHeight="false" outlineLevel="0" collapsed="false">
      <c r="B42" s="21" t="s">
        <v>336</v>
      </c>
      <c r="C42" s="77" t="n">
        <f aca="false">C33+C40*D33+C41*E33</f>
        <v>10325</v>
      </c>
    </row>
    <row r="43" customFormat="false" ht="15" hidden="false" customHeight="false" outlineLevel="0" collapsed="false">
      <c r="B43" s="35" t="s">
        <v>337</v>
      </c>
      <c r="C43" s="76" t="n">
        <f aca="false">-C42</f>
        <v>-10325</v>
      </c>
    </row>
    <row r="44" customFormat="false" ht="15" hidden="false" customHeight="false" outlineLevel="0" collapsed="false">
      <c r="B44" s="21" t="s">
        <v>350</v>
      </c>
      <c r="C44" s="24" t="n">
        <f aca="false">ROUND(C34+C40*D34+C41*E34,6)</f>
        <v>0</v>
      </c>
      <c r="D44" s="24" t="n">
        <f aca="false">ROUND(C35+C40*D35+C41*E35,6)</f>
        <v>0</v>
      </c>
      <c r="E44" s="24" t="n">
        <f aca="false">ROUND(C42+C43,6)</f>
        <v>0</v>
      </c>
    </row>
  </sheetData>
  <mergeCells count="5">
    <mergeCell ref="A1:H1"/>
    <mergeCell ref="A2:H2"/>
    <mergeCell ref="A5:H5"/>
    <mergeCell ref="A20:H20"/>
    <mergeCell ref="A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2026-10-27T01:28:04Z</dcterms:created>
  <dc:creator>openpyxl</dc:creator>
  <dc:description/>
  <dc:language>en-US</dc:language>
  <cp:lastModifiedBy/>
  <dcterms:modified xsi:type="dcterms:W3CDTF">2026-10-27T01:28:05Z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