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BIA" sheetId="2" state="visible" r:id="rId2"/>
    <sheet xmlns:r="http://schemas.openxmlformats.org/officeDocument/2006/relationships" name="SA" sheetId="3" state="visible" r:id="rId3"/>
    <sheet xmlns:r="http://schemas.openxmlformats.org/officeDocument/2006/relationships" name="Capital" sheetId="4" state="visible" r:id="rId4"/>
    <sheet xmlns:r="http://schemas.openxmlformats.org/officeDocument/2006/relationships" name="BI_Case2" sheetId="5" state="visible" r:id="rId5"/>
    <sheet xmlns:r="http://schemas.openxmlformats.org/officeDocument/2006/relationships" name="TSA_Case1" sheetId="6" state="visible" r:id="rId6"/>
    <sheet xmlns:r="http://schemas.openxmlformats.org/officeDocument/2006/relationships" name="ILM_Curve" sheetId="7" state="visible" r:id="rId7"/>
    <sheet xmlns:r="http://schemas.openxmlformats.org/officeDocument/2006/relationships" name="Large_Loss" sheetId="8" state="visible" r:id="rId8"/>
  </sheets>
  <definedNames/>
  <calcPr calcId="124519" fullCalcOnLoad="1"/>
</workbook>
</file>

<file path=xl/styles.xml><?xml version="1.0" encoding="utf-8"?>
<styleSheet xmlns="http://schemas.openxmlformats.org/spreadsheetml/2006/main">
  <numFmts count="3">
    <numFmt numFmtId="164" formatCode="0.000000"/>
    <numFmt numFmtId="165" formatCode="0.0000"/>
    <numFmt numFmtId="166" formatCode="#,##0.0000"/>
  </numFmts>
  <fonts count="8">
    <font>
      <name val="Calibri"/>
      <family val="2"/>
      <color theme="1"/>
      <sz val="11"/>
      <scheme val="minor"/>
    </font>
    <font>
      <name val="Arial"/>
      <b val="1"/>
      <color rgb="FFFFFFFF"/>
      <sz val="16"/>
    </font>
    <font>
      <name val="Arial"/>
      <b val="1"/>
      <color rgb="FF003366"/>
      <sz val="11"/>
    </font>
    <font>
      <name val="Arial"/>
      <color rgb="FF003366"/>
      <sz val="11"/>
    </font>
    <font>
      <name val="Arial"/>
      <color rgb="FF004D80"/>
      <sz val="11"/>
      <u val="single"/>
    </font>
    <font>
      <name val="Arial"/>
      <b val="1"/>
      <color rgb="FFFFFFFF"/>
      <sz val="11"/>
    </font>
    <font>
      <name val="Arial"/>
      <color rgb="FF0000FF"/>
      <sz val="11"/>
    </font>
    <font>
      <name val="Arial"/>
      <i val="1"/>
      <color rgb="FF5A6475"/>
      <sz val="11"/>
    </font>
  </fonts>
  <fills count="7">
    <fill>
      <patternFill/>
    </fill>
    <fill>
      <patternFill patternType="gray125"/>
    </fill>
    <fill>
      <patternFill patternType="solid">
        <fgColor rgb="FF003366"/>
      </patternFill>
    </fill>
    <fill>
      <patternFill patternType="solid">
        <fgColor rgb="FFFFD700"/>
      </patternFill>
    </fill>
    <fill>
      <patternFill patternType="solid">
        <fgColor rgb="FFEAF3F8"/>
      </patternFill>
    </fill>
    <fill>
      <patternFill patternType="solid">
        <fgColor rgb="FFFFF2CC"/>
      </patternFill>
    </fill>
    <fill>
      <patternFill patternType="solid">
        <fgColor rgb="FF004D80"/>
      </patternFill>
    </fill>
  </fills>
  <borders count="7">
    <border>
      <left/>
      <right/>
      <top/>
      <bottom/>
      <diagonal/>
    </border>
    <border>
      <left style="thin">
        <color rgb="FF9AA7B8"/>
      </left>
      <right style="thin">
        <color rgb="FF9AA7B8"/>
      </right>
      <top style="thin">
        <color rgb="FF9AA7B8"/>
      </top>
      <bottom style="thin">
        <color rgb="FF9AA7B8"/>
      </bottom>
    </border>
    <border>
      <left style="medium">
        <color rgb="FFC9A24D"/>
      </left>
      <right style="medium">
        <color rgb="FFC9A24D"/>
      </right>
      <top style="medium">
        <color rgb="FFC9A24D"/>
      </top>
      <bottom style="medium">
        <color rgb="FFC9A24D"/>
      </bottom>
    </border>
    <border>
      <left/>
      <right/>
      <top style="thin">
        <color rgb="FF9AA7B8"/>
      </top>
      <bottom/>
      <diagonal/>
    </border>
    <border>
      <left/>
      <right style="thin">
        <color rgb="FF9AA7B8"/>
      </right>
      <top style="thin">
        <color rgb="FF9AA7B8"/>
      </top>
      <bottom/>
      <diagonal/>
    </border>
    <border>
      <left/>
      <right style="thin">
        <color rgb="FF9AA7B8"/>
      </right>
      <top style="thin">
        <color rgb="FF9AA7B8"/>
      </top>
      <bottom style="thin">
        <color rgb="FF9AA7B8"/>
      </bottom>
      <diagonal/>
    </border>
    <border>
      <left/>
      <right/>
      <top style="thin">
        <color rgb="FF9AA7B8"/>
      </top>
      <bottom style="thin">
        <color rgb="FF9AA7B8"/>
      </bottom>
      <diagonal/>
    </border>
  </borders>
  <cellStyleXfs count="1">
    <xf numFmtId="0" fontId="0" fillId="0" borderId="0"/>
  </cellStyleXfs>
  <cellXfs count="34">
    <xf numFmtId="0" fontId="0" fillId="0" borderId="0" pivotButton="0" quotePrefix="0" xfId="0"/>
    <xf numFmtId="0" fontId="1" fillId="2" borderId="0" applyAlignment="1" pivotButton="0" quotePrefix="0" xfId="0">
      <alignment vertical="center" wrapText="1"/>
    </xf>
    <xf numFmtId="0" fontId="0" fillId="2" borderId="0" pivotButton="0" quotePrefix="0" xfId="0"/>
    <xf numFmtId="0" fontId="2" fillId="3" borderId="0" applyAlignment="1" pivotButton="0" quotePrefix="0" xfId="0">
      <alignment vertical="center" wrapText="1"/>
    </xf>
    <xf numFmtId="0" fontId="0" fillId="3" borderId="0" pivotButton="0" quotePrefix="0" xfId="0"/>
    <xf numFmtId="0" fontId="2" fillId="0" borderId="1" applyAlignment="1" pivotButton="0" quotePrefix="0" xfId="0">
      <alignment vertical="top" wrapText="1"/>
    </xf>
    <xf numFmtId="0" fontId="4" fillId="0" borderId="1" applyAlignment="1" pivotButton="0" quotePrefix="0" xfId="0">
      <alignment vertical="top" wrapText="1"/>
    </xf>
    <xf numFmtId="0" fontId="3" fillId="0" borderId="1" applyAlignment="1" pivotButton="0" quotePrefix="0" xfId="0">
      <alignment vertical="top" wrapText="1"/>
    </xf>
    <xf numFmtId="0" fontId="5" fillId="2" borderId="1" applyAlignment="1" pivotButton="0" quotePrefix="0" xfId="0">
      <alignment horizontal="center" vertical="center" wrapText="1"/>
    </xf>
    <xf numFmtId="0" fontId="3" fillId="0" borderId="1" applyAlignment="1" pivotButton="0" quotePrefix="0" xfId="0">
      <alignment vertical="center" wrapText="1"/>
    </xf>
    <xf numFmtId="4" fontId="6" fillId="4" borderId="1" applyAlignment="1" pivotButton="0" quotePrefix="0" xfId="0">
      <alignment horizontal="right" vertical="center" wrapText="1"/>
    </xf>
    <xf numFmtId="0" fontId="7" fillId="0" borderId="0" applyAlignment="1" pivotButton="0" quotePrefix="0" xfId="0">
      <alignment vertical="center" wrapText="1"/>
    </xf>
    <xf numFmtId="1" fontId="3" fillId="0" borderId="1" applyAlignment="1" pivotButton="0" quotePrefix="0" xfId="0">
      <alignment horizontal="right" vertical="center" wrapText="1"/>
    </xf>
    <xf numFmtId="0" fontId="2" fillId="0" borderId="1" applyAlignment="1" pivotButton="0" quotePrefix="0" xfId="0">
      <alignment vertical="center" wrapText="1"/>
    </xf>
    <xf numFmtId="4" fontId="3" fillId="0" borderId="1" applyAlignment="1" pivotButton="0" quotePrefix="0" xfId="0">
      <alignment horizontal="right" vertical="center" wrapText="1"/>
    </xf>
    <xf numFmtId="4" fontId="2" fillId="5" borderId="2" applyAlignment="1" pivotButton="0" quotePrefix="0" xfId="0">
      <alignment horizontal="right" vertical="center" wrapText="1"/>
    </xf>
    <xf numFmtId="0" fontId="5" fillId="6" borderId="0" applyAlignment="1" pivotButton="0" quotePrefix="0" xfId="0">
      <alignment vertical="center" wrapText="1"/>
    </xf>
    <xf numFmtId="0" fontId="3" fillId="0" borderId="1" applyAlignment="1" pivotButton="0" quotePrefix="0" xfId="0">
      <alignment horizontal="right" vertical="center" wrapText="1"/>
    </xf>
    <xf numFmtId="0" fontId="0" fillId="0" borderId="5" pivotButton="0" quotePrefix="0" xfId="0"/>
    <xf numFmtId="0" fontId="3" fillId="4" borderId="0" applyAlignment="1" pivotButton="0" quotePrefix="0" xfId="0">
      <alignment vertical="top" wrapText="1"/>
    </xf>
    <xf numFmtId="3" fontId="3" fillId="0" borderId="1" applyAlignment="1" pivotButton="0" quotePrefix="0" xfId="0">
      <alignment horizontal="right" vertical="center" wrapText="1"/>
    </xf>
    <xf numFmtId="164" fontId="2" fillId="5" borderId="2" applyAlignment="1" pivotButton="0" quotePrefix="0" xfId="0">
      <alignment horizontal="right" vertical="center" wrapText="1"/>
    </xf>
    <xf numFmtId="0" fontId="6" fillId="4" borderId="1" applyAlignment="1" pivotButton="0" quotePrefix="0" xfId="0">
      <alignment horizontal="right" vertical="center" wrapText="1"/>
    </xf>
    <xf numFmtId="165" fontId="3" fillId="0" borderId="1" applyAlignment="1" pivotButton="0" quotePrefix="0" xfId="0">
      <alignment horizontal="right" vertical="center" wrapText="1"/>
    </xf>
    <xf numFmtId="10" fontId="3" fillId="0" borderId="1" applyAlignment="1" pivotButton="0" quotePrefix="0" xfId="0">
      <alignment horizontal="right" vertical="center" wrapText="1"/>
    </xf>
    <xf numFmtId="10" fontId="2" fillId="5" borderId="2" applyAlignment="1" pivotButton="0" quotePrefix="0" xfId="0">
      <alignment horizontal="right" vertical="center" wrapText="1"/>
    </xf>
    <xf numFmtId="10" fontId="6" fillId="4" borderId="1" applyAlignment="1" pivotButton="0" quotePrefix="0" xfId="0">
      <alignment horizontal="right" vertical="center" wrapText="1"/>
    </xf>
    <xf numFmtId="3" fontId="6" fillId="4" borderId="1" applyAlignment="1" pivotButton="0" quotePrefix="0" xfId="0">
      <alignment horizontal="right" vertical="center" wrapText="1"/>
    </xf>
    <xf numFmtId="166" fontId="3" fillId="0" borderId="1" applyAlignment="1" pivotButton="0" quotePrefix="0" xfId="0">
      <alignment horizontal="right" vertical="center" wrapText="1"/>
    </xf>
    <xf numFmtId="0" fontId="0" fillId="0" borderId="6" pivotButton="0" quotePrefix="0" xfId="0"/>
    <xf numFmtId="166" fontId="2" fillId="5" borderId="2" applyAlignment="1" pivotButton="0" quotePrefix="0" xfId="0">
      <alignment horizontal="right" vertical="center" wrapText="1"/>
    </xf>
    <xf numFmtId="9" fontId="6" fillId="4" borderId="1" applyAlignment="1" pivotButton="0" quotePrefix="0" xfId="0">
      <alignment horizontal="right" vertical="center" wrapText="1"/>
    </xf>
    <xf numFmtId="165" fontId="6" fillId="4" borderId="1" applyAlignment="1" pivotButton="0" quotePrefix="0" xfId="0">
      <alignment horizontal="right" vertical="center" wrapText="1"/>
    </xf>
    <xf numFmtId="1" fontId="6" fillId="4" borderId="1" applyAlignment="1" pivotButton="0" quotePrefix="0" xfId="0">
      <alignment horizontal="righ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style val="13"/>
  <chart>
    <title>
      <tx>
        <rich>
          <a:bodyPr xmlns:a="http://schemas.openxmlformats.org/drawingml/2006/main"/>
          <a:p xmlns:a="http://schemas.openxmlformats.org/drawingml/2006/main">
            <a:pPr>
              <a:defRPr/>
            </a:pPr>
            <a:r>
              <a:t>ILM = ln[e − 1 + (LC/BIC)^0.8]</a:t>
            </a:r>
          </a:p>
        </rich>
      </tx>
    </title>
    <plotArea>
      <scatterChart>
        <ser>
          <idx val="0"/>
          <order val="0"/>
          <spPr>
            <a:ln xmlns:a="http://schemas.openxmlformats.org/drawingml/2006/main" w="28000">
              <a:solidFill>
                <a:srgbClr val="003366"/>
              </a:solidFill>
              <a:prstDash val="solid"/>
            </a:ln>
          </spPr>
          <marker>
            <symbol val="circle"/>
            <spPr>
              <a:ln xmlns:a="http://schemas.openxmlformats.org/drawingml/2006/main">
                <a:prstDash val="solid"/>
              </a:ln>
            </spPr>
          </marker>
          <xVal>
            <numRef>
              <f>'ILM_Curve'!$A$2:$A$14</f>
            </numRef>
          </xVal>
          <yVal>
            <numRef>
              <f>'ILM_Curve'!$B$2:$B$14</f>
            </numRef>
          </yVal>
          <smooth val="1"/>
        </ser>
        <axId val="10"/>
        <axId val="20"/>
      </scatterChart>
      <valAx>
        <axId val="10"/>
        <scaling>
          <orientation val="minMax"/>
        </scaling>
        <axPos val="l"/>
        <majorGridlines/>
        <title>
          <tx>
            <rich>
              <a:bodyPr xmlns:a="http://schemas.openxmlformats.org/drawingml/2006/main"/>
              <a:p xmlns:a="http://schemas.openxmlformats.org/drawingml/2006/main">
                <a:pPr>
                  <a:defRPr/>
                </a:pPr>
                <a:r>
                  <a:t>LC ÷ BIC</a:t>
                </a:r>
              </a:p>
            </rich>
          </tx>
        </title>
        <majorTickMark val="none"/>
        <minorTickMark val="none"/>
        <crossAx val="20"/>
      </valAx>
      <valAx>
        <axId val="20"/>
        <scaling>
          <orientation val="minMax"/>
        </scaling>
        <axPos val="l"/>
        <majorGridlines/>
        <title>
          <tx>
            <rich>
              <a:bodyPr xmlns:a="http://schemas.openxmlformats.org/drawingml/2006/main"/>
              <a:p xmlns:a="http://schemas.openxmlformats.org/drawingml/2006/main">
                <a:pPr>
                  <a:defRPr/>
                </a:pPr>
                <a:r>
                  <a:t>ILM</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1</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hemountainpathacademy.com/basel-capital-adequacy-operational-risk" TargetMode="External" Id="rId1"/></Relationships>
</file>

<file path=xl/worksheets/_rels/sheet7.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003366"/>
    <outlinePr summaryBelow="1" summaryRight="1"/>
    <pageSetUpPr/>
  </sheetPr>
  <dimension ref="A1:B16"/>
  <sheetViews>
    <sheetView showGridLines="0" workbookViewId="0">
      <selection activeCell="A1" sqref="A1"/>
    </sheetView>
  </sheetViews>
  <sheetFormatPr baseColWidth="8" defaultRowHeight="15"/>
  <cols>
    <col width="26" customWidth="1" min="1" max="1"/>
    <col width="100" customWidth="1" min="2" max="2"/>
  </cols>
  <sheetData>
    <row r="1" ht="30" customHeight="1">
      <c r="A1" s="1" t="inlineStr">
        <is>
          <t>Basel Capital Adequacy for Operational Risk — Excel Companion (Section 24)</t>
        </is>
      </c>
      <c r="B1" s="2" t="n"/>
    </row>
    <row r="2" ht="20" customHeight="1">
      <c r="A2" s="3" t="inlineStr">
        <is>
          <t>The Mountain Path Academy  |  Prof. V. Ravichandran  |  https://themountainpathacademy.com</t>
        </is>
      </c>
      <c r="B2" s="4" t="n"/>
    </row>
    <row r="4" ht="21" customHeight="1">
      <c r="A4" s="5" t="inlineStr">
        <is>
          <t>Article</t>
        </is>
      </c>
      <c r="B4" s="6" t="inlineStr">
        <is>
          <t>https://themountainpathacademy.com/basel-capital-adequacy-operational-risk</t>
        </is>
      </c>
    </row>
    <row r="5" ht="36" customHeight="1">
      <c r="A5" s="5" t="inlineStr">
        <is>
          <t>Reference date</t>
        </is>
      </c>
      <c r="B5" s="7" t="inlineStr">
        <is>
          <t>2 November 2026. Amounts in ₹ crore unless a Basel (€ million) mode is selected. Illustrative teaching data.</t>
        </is>
      </c>
    </row>
    <row r="6" ht="21" customHeight="1">
      <c r="A6" s="5" t="inlineStr">
        <is>
          <t>Legend</t>
        </is>
      </c>
      <c r="B6" s="7" t="inlineStr">
        <is>
          <t>Blue on light blue = input you can change · white bordered = formula · yellow with gold border = result.</t>
        </is>
      </c>
    </row>
    <row r="7" ht="51" customHeight="1">
      <c r="A7" s="5" t="inlineStr">
        <is>
          <t>Cell map</t>
        </is>
      </c>
      <c r="B7" s="7" t="inlineStr">
        <is>
          <t>BIA, SA and Capital use EXACTLY the cell addresses listed in the article's Section 24 table (labels in column A, values in column B). Rows below each panel add checks and extensions that the article's labs and corrections describe.</t>
        </is>
      </c>
    </row>
    <row r="8" ht="36" customHeight="1">
      <c r="A8" s="5" t="inlineStr">
        <is>
          <t>BIA</t>
        </is>
      </c>
      <c r="B8" s="7" t="inlineStr">
        <is>
          <t>Lab 1 / Section 6 — 15% of the average of POSITIVE gross-income years (negative and zero years leave both sum and count).</t>
        </is>
      </c>
    </row>
    <row r="9" ht="51" customHeight="1">
      <c r="A9" s="5" t="inlineStr">
        <is>
          <t>SA</t>
        </is>
      </c>
      <c r="B9" s="7" t="inlineStr">
        <is>
          <t>Lab 2 / Sections 15–17 — marginal BIC (RBI ₹8,000 / ₹2,40,000 crore, or Basel €1bn / €30bn in € million), LC = 15 × average annual net loss, ILM = ln[e − 1 + (LC/BIC)^0.8] for an eligible loss-sensitive bank in buckets 2–3; bucket 1 and a BIC-only regime use ILM = 1.</t>
        </is>
      </c>
    </row>
    <row r="10" ht="36" customHeight="1">
      <c r="A10" s="5" t="inlineStr">
        <is>
          <t>Capital</t>
        </is>
      </c>
      <c r="B10" s="7" t="inlineStr">
        <is>
          <t>Lab 3 / Section 20 — operational RWA = 12.5 × ORC (1 ÷ 8%, not 1 ÷ 9%), the three capital ratios against RBI baseline + full CCB, and the extra CET1 needed.</t>
        </is>
      </c>
    </row>
    <row r="11" ht="36" customHeight="1">
      <c r="A11" s="5" t="inlineStr">
        <is>
          <t>BI_Case2</t>
        </is>
      </c>
      <c r="B11" s="7" t="inlineStr">
        <is>
          <t>Section 14 — Business Indicator built from three years of financial data (ILDC + SC + FC), absolute values taken year by year.</t>
        </is>
      </c>
    </row>
    <row r="12" ht="36" customHeight="1">
      <c r="A12" s="5" t="inlineStr">
        <is>
          <t>TSA_Case1</t>
        </is>
      </c>
      <c r="B12" s="7" t="inlineStr">
        <is>
          <t>Sections 7–8 — Basel II TSA: β × GI by business line, each year's total floored at zero, always divided by 3.</t>
        </is>
      </c>
    </row>
    <row r="13" ht="21" customHeight="1">
      <c r="A13" s="5" t="inlineStr">
        <is>
          <t>ILM_Curve</t>
        </is>
      </c>
      <c r="B13" s="7" t="inlineStr">
        <is>
          <t>Section 17 / Figure 3 — ILM table and curve against LC/BIC.</t>
        </is>
      </c>
    </row>
    <row r="14" ht="21" customHeight="1">
      <c r="A14" s="5" t="inlineStr">
        <is>
          <t>Large_Loss</t>
        </is>
      </c>
      <c r="B14" s="7" t="inlineStr">
        <is>
          <t>Section 21 — effect of one additional ₹500 crore eligible loss on LC, ILM, ORC and RWA.</t>
        </is>
      </c>
    </row>
    <row r="15" ht="81" customHeight="1">
      <c r="A15" s="5" t="inlineStr">
        <is>
          <t>Corrections built in</t>
        </is>
      </c>
      <c r="B15" s="7" t="inlineStr">
        <is>
          <t>• 12.5 = 1 ÷ 8% (never 1 ÷ 9% ≈ 11.11).  • Separate units: RBI mode ₹ crore, Basel mode € million — switching does not convert amounts.  • In bucket 1 the Loss Component is shown as 'not applied'.  • Basel loss threshold €20,000 (€100,000 at national discretion for buckets 2–3); RBI ₹1 lakh.  • Gross income excludes realised gains/losses on banking-book securities, extraordinary items and insurance income.  • ES = average loss beyond the 99.9% VaR.</t>
        </is>
      </c>
    </row>
    <row r="16" ht="36" customHeight="1">
      <c r="A16" s="5" t="inlineStr">
        <is>
          <t>Limits</t>
        </is>
      </c>
      <c r="B16" s="7" t="inlineStr">
        <is>
          <t>Excel cannot establish regulatory data eligibility; the loss-sensitive mode assumes eligible, high-quality loss data. Other buffers, Pillar 2, the leverage ratio and output-floor effects are excluded.</t>
        </is>
      </c>
    </row>
  </sheetData>
  <mergeCells count="2">
    <mergeCell ref="A2:B2"/>
    <mergeCell ref="A1:B1"/>
  </mergeCells>
  <hyperlinks>
    <hyperlink xmlns:r="http://schemas.openxmlformats.org/officeDocument/2006/relationships" ref="B4" r:id="rId1"/>
  </hyperlinks>
  <pageMargins left="0.75" right="0.75" top="1" bottom="1" header="0.5" footer="0.5"/>
  <headerFooter>
    <oddHeader/>
    <oddFooter>&amp;LThe Mountain Path Academy · https://themountainpathacademy.com</oddFooter>
    <evenHeader/>
    <evenFooter/>
    <firstHeader/>
    <firstFooter/>
  </headerFooter>
</worksheet>
</file>

<file path=xl/worksheets/sheet2.xml><?xml version="1.0" encoding="utf-8"?>
<worksheet xmlns="http://schemas.openxmlformats.org/spreadsheetml/2006/main">
  <sheetPr>
    <tabColor rgb="FF004D80"/>
    <outlinePr summaryBelow="1" summaryRight="1"/>
    <pageSetUpPr fitToPage="1"/>
  </sheetPr>
  <dimension ref="A1:C15"/>
  <sheetViews>
    <sheetView showGridLines="0" workbookViewId="0">
      <pane ySplit="1" topLeftCell="A2" activePane="bottomLeft" state="frozen"/>
      <selection pane="bottomLeft" activeCell="A1" sqref="A1"/>
    </sheetView>
  </sheetViews>
  <sheetFormatPr baseColWidth="8" defaultRowHeight="15"/>
  <cols>
    <col width="46" customWidth="1" min="1" max="1"/>
    <col width="18" customWidth="1" min="2" max="2"/>
    <col width="70" customWidth="1" min="3" max="3"/>
  </cols>
  <sheetData>
    <row r="1" ht="24" customHeight="1">
      <c r="A1" s="8" t="inlineStr">
        <is>
          <t>Item</t>
        </is>
      </c>
      <c r="B1" s="8" t="inlineStr">
        <is>
          <t>Value</t>
        </is>
      </c>
      <c r="C1" s="8" t="inlineStr">
        <is>
          <t>Formula / note</t>
        </is>
      </c>
    </row>
    <row r="2">
      <c r="A2" s="9" t="inlineStr">
        <is>
          <t>Year 1 gross income (GI)</t>
        </is>
      </c>
      <c r="B2" s="10" t="n">
        <v>1000</v>
      </c>
      <c r="C2" s="11" t="inlineStr">
        <is>
          <t>Input — regulatory GI (net interest + net non-interest income, before provisions and opex)</t>
        </is>
      </c>
    </row>
    <row r="3">
      <c r="A3" s="9" t="inlineStr">
        <is>
          <t>Year 2 gross income (GI)</t>
        </is>
      </c>
      <c r="B3" s="10" t="n">
        <v>-200</v>
      </c>
      <c r="C3" s="11" t="inlineStr">
        <is>
          <t>Input — regulatory GI (net interest + net non-interest income, before provisions and opex)</t>
        </is>
      </c>
    </row>
    <row r="4">
      <c r="A4" s="9" t="inlineStr">
        <is>
          <t>Year 3 gross income (GI)</t>
        </is>
      </c>
      <c r="B4" s="10" t="n">
        <v>1200</v>
      </c>
      <c r="C4" s="11" t="inlineStr">
        <is>
          <t>Input — regulatory GI (net interest + net non-interest income, before provisions and opex)</t>
        </is>
      </c>
    </row>
    <row r="5">
      <c r="A5" s="9" t="inlineStr">
        <is>
          <t>Positive years counted (n)</t>
        </is>
      </c>
      <c r="B5" s="12">
        <f>COUNTIF(B2:B4,"&gt;0")</f>
        <v/>
      </c>
      <c r="C5" s="11" t="inlineStr">
        <is>
          <t>=COUNTIF(B2:B4,"&gt;0") — zero and negative years leave both sum and count</t>
        </is>
      </c>
    </row>
    <row r="6">
      <c r="A6" s="13" t="inlineStr">
        <is>
          <t>Average of positive years</t>
        </is>
      </c>
      <c r="B6" s="14">
        <f>IF(COUNTIF(B2:B4,"&gt;0")=0,0,AVERAGEIF(B2:B4,"&gt;0"))</f>
        <v/>
      </c>
      <c r="C6" s="11" t="inlineStr">
        <is>
          <t>=IF(COUNTIF(B2:B4,"&gt;0")=0,0,AVERAGEIF(B2:B4,"&gt;0"))</t>
        </is>
      </c>
    </row>
    <row r="7">
      <c r="A7" s="13" t="inlineStr">
        <is>
          <t>BIA charge K = 15% × average</t>
        </is>
      </c>
      <c r="B7" s="15">
        <f>15%*B6</f>
        <v/>
      </c>
      <c r="C7" s="11" t="inlineStr">
        <is>
          <t>=15%*B6</t>
        </is>
      </c>
    </row>
    <row r="8">
      <c r="A8" s="13" t="inlineStr">
        <is>
          <t>Operational RWA = 12.5 × K</t>
        </is>
      </c>
      <c r="B8" s="15">
        <f>12.5*B7</f>
        <v/>
      </c>
      <c r="C8" s="11" t="inlineStr">
        <is>
          <t>=12.5*B7   (12.5 = 1 ÷ 8%)</t>
        </is>
      </c>
    </row>
    <row r="10" ht="20" customHeight="1">
      <c r="A10" s="16" t="inlineStr">
        <is>
          <t>Checks</t>
        </is>
      </c>
    </row>
    <row r="11">
      <c r="A11" s="9" t="inlineStr">
        <is>
          <t>Wrong method: 15% × simple 3-year average</t>
        </is>
      </c>
      <c r="B11" s="14">
        <f>15%*AVERAGE(B2:B4)</f>
        <v/>
      </c>
      <c r="C11" s="11" t="inlineStr">
        <is>
          <t>Dividing by three dilutes the proxy — shown only for contrast</t>
        </is>
      </c>
    </row>
    <row r="12">
      <c r="A12" s="9" t="inlineStr">
        <is>
          <t>Understatement from the wrong method</t>
        </is>
      </c>
      <c r="B12" s="14">
        <f>B7-B11</f>
        <v/>
      </c>
    </row>
    <row r="13" ht="30" customHeight="1">
      <c r="A13" s="9" t="inlineStr">
        <is>
          <t>Status</t>
        </is>
      </c>
      <c r="B13" s="17">
        <f>IF(B5=0,"No positive year — zero proxy charge; refer to supervisory review",B5&amp;" positive year(s) included")</f>
        <v/>
      </c>
      <c r="C13" s="18" t="n"/>
    </row>
    <row r="15" ht="38" customHeight="1">
      <c r="A15" s="19" t="inlineStr">
        <is>
          <t>Article cells: BIA!B2:B4 inputs, B6 average, B7 charge, B8 RWA. Expected with the article's data: 1,100.00 · 165.00 · 2,062.50.</t>
        </is>
      </c>
    </row>
  </sheetData>
  <mergeCells count="3">
    <mergeCell ref="A10:C10"/>
    <mergeCell ref="B13:C13"/>
    <mergeCell ref="A15:C15"/>
  </mergeCells>
  <pageMargins left="0.75" right="0.75" top="1" bottom="1" header="0.5" footer="0.5"/>
  <pageSetup orientation="landscape" fitToHeight="0"/>
  <headerFooter>
    <oddHeader>&amp;CBasel Capital Adequacy for Operational Risk — Section 24</oddHeader>
    <oddFooter>&amp;LThe Mountain Path Academy · https://themountainpathacademy.com&amp;RProf. V. Ravichandran · Page &amp;P of &amp;N</oddFooter>
    <evenHeader/>
    <evenFooter/>
    <firstHeader/>
    <firstFooter/>
  </headerFooter>
</worksheet>
</file>

<file path=xl/worksheets/sheet3.xml><?xml version="1.0" encoding="utf-8"?>
<worksheet xmlns="http://schemas.openxmlformats.org/spreadsheetml/2006/main">
  <sheetPr>
    <tabColor rgb="FF004D80"/>
    <outlinePr summaryBelow="1" summaryRight="1"/>
    <pageSetUpPr fitToPage="1"/>
  </sheetPr>
  <dimension ref="A1:C25"/>
  <sheetViews>
    <sheetView showGridLines="0" workbookViewId="0">
      <pane ySplit="1" topLeftCell="A2" activePane="bottomLeft" state="frozen"/>
      <selection pane="bottomLeft" activeCell="A1" sqref="A1"/>
    </sheetView>
  </sheetViews>
  <sheetFormatPr baseColWidth="8" defaultRowHeight="15"/>
  <cols>
    <col width="46" customWidth="1" min="1" max="1"/>
    <col width="18" customWidth="1" min="2" max="2"/>
    <col width="70" customWidth="1" min="3" max="3"/>
  </cols>
  <sheetData>
    <row r="1" ht="24" customHeight="1">
      <c r="A1" s="8" t="inlineStr">
        <is>
          <t>Item</t>
        </is>
      </c>
      <c r="B1" s="8" t="inlineStr">
        <is>
          <t>Value</t>
        </is>
      </c>
      <c r="C1" s="8" t="inlineStr">
        <is>
          <t>Formula / note</t>
        </is>
      </c>
    </row>
    <row r="2">
      <c r="A2" s="9" t="inlineStr">
        <is>
          <t>Business Indicator (BI)</t>
        </is>
      </c>
      <c r="B2" s="10" t="n">
        <v>12000</v>
      </c>
      <c r="C2" s="11" t="inlineStr">
        <is>
          <t>Input — ₹ crore in RBI mode; € million in Basel mode</t>
        </is>
      </c>
    </row>
    <row r="3">
      <c r="A3" s="9" t="inlineStr">
        <is>
          <t>Average annual eligible net loss</t>
        </is>
      </c>
      <c r="B3" s="10" t="n">
        <v>150</v>
      </c>
      <c r="C3" s="11" t="inlineStr">
        <is>
          <t>Input — 10-year average, net of RECEIVED recoveries</t>
        </is>
      </c>
    </row>
    <row r="4">
      <c r="A4" s="9" t="inlineStr">
        <is>
          <t>Threshold 1 (bucket 1 → 2)</t>
        </is>
      </c>
      <c r="B4" s="20">
        <f>IF($B$14="Basel",1000,8000)</f>
        <v/>
      </c>
      <c r="C4" s="11" t="inlineStr">
        <is>
          <t>RBI ₹8,000 crore · Basel €1bn = €1,000 million (set by B14)</t>
        </is>
      </c>
    </row>
    <row r="5">
      <c r="A5" s="9" t="inlineStr">
        <is>
          <t>Threshold 2 (bucket 2 → 3)</t>
        </is>
      </c>
      <c r="B5" s="20">
        <f>IF($B$14="Basel",30000,240000)</f>
        <v/>
      </c>
      <c r="C5" s="11" t="inlineStr">
        <is>
          <t>RBI ₹2,40,000 crore · Basel €30bn = €30,000 million</t>
        </is>
      </c>
    </row>
    <row r="6">
      <c r="A6" s="9" t="inlineStr">
        <is>
          <t>BI bucket</t>
        </is>
      </c>
      <c r="B6" s="12">
        <f>IF(B2&lt;=B4,1,IF(B2&lt;=B5,2,3))</f>
        <v/>
      </c>
      <c r="C6" s="11" t="inlineStr">
        <is>
          <t>Extension — not in the article's table</t>
        </is>
      </c>
    </row>
    <row r="7">
      <c r="A7" s="13" t="inlineStr">
        <is>
          <t>Marginal BIC</t>
        </is>
      </c>
      <c r="B7" s="15">
        <f>12%*MIN(B2,B4)+15%*MIN(MAX(B2-B4,0),B5-B4)+18%*MAX(B2-B5,0)</f>
        <v/>
      </c>
      <c r="C7" s="11" t="inlineStr">
        <is>
          <t>=12%*MIN(B2,B4)+15%*MIN(MAX(B2-B4,0),B5-B4)+18%*MAX(B2-B5,0) — coefficient changes on the next slice only</t>
        </is>
      </c>
    </row>
    <row r="8">
      <c r="A8" s="13" t="inlineStr">
        <is>
          <t>Loss Component LC = 15 × average loss</t>
        </is>
      </c>
      <c r="B8" s="15">
        <f>15*B3</f>
        <v/>
      </c>
      <c r="C8" s="11" t="inlineStr">
        <is>
          <t>=15*B3   (15 × the AVERAGE, not 15 × the ten-year sum)</t>
        </is>
      </c>
    </row>
    <row r="9">
      <c r="A9" s="13" t="inlineStr">
        <is>
          <t>Applied ILM</t>
        </is>
      </c>
      <c r="B9" s="21">
        <f>IF(OR(B2&lt;=B4,$B$15="BIC-only"),1,LN(EXP(1)-1+(B8/B7)^0.8))</f>
        <v/>
      </c>
      <c r="C9" s="11" t="inlineStr">
        <is>
          <t>=IF(OR(B2&lt;=B4,B15="BIC-only"),1,LN(EXP(1)-1+(B8/B7)^0.8)) — article formula plus the BIC-only switch in B15</t>
        </is>
      </c>
    </row>
    <row r="10">
      <c r="A10" s="13" t="inlineStr">
        <is>
          <t>Operational-risk capital ORC = BIC × ILM</t>
        </is>
      </c>
      <c r="B10" s="15">
        <f>B7*B9</f>
        <v/>
      </c>
      <c r="C10" s="11" t="inlineStr">
        <is>
          <t>=B7*B9</t>
        </is>
      </c>
    </row>
    <row r="11">
      <c r="A11" s="13" t="inlineStr">
        <is>
          <t>Operational RWA = 12.5 × ORC</t>
        </is>
      </c>
      <c r="B11" s="15">
        <f>12.5*B10</f>
        <v/>
      </c>
      <c r="C11" s="11" t="inlineStr">
        <is>
          <t>=12.5*B10   (1 ÷ 8%)</t>
        </is>
      </c>
    </row>
    <row r="13" ht="20" customHeight="1">
      <c r="A13" s="16" t="inlineStr">
        <is>
          <t>Settings (corrections from the article's Lab 2)</t>
        </is>
      </c>
    </row>
    <row r="14">
      <c r="A14" s="9" t="inlineStr">
        <is>
          <t>Threshold basis (RBI or Basel)</t>
        </is>
      </c>
      <c r="B14" s="22" t="inlineStr">
        <is>
          <t>RBI</t>
        </is>
      </c>
      <c r="C14" s="11" t="inlineStr">
        <is>
          <t>Type RBI or Basel. Switching does NOT convert amounts — re-enter B2 and B3 in the new unit</t>
        </is>
      </c>
    </row>
    <row r="15">
      <c r="A15" s="9" t="inlineStr">
        <is>
          <t>Loss-data treatment</t>
        </is>
      </c>
      <c r="B15" s="22" t="inlineStr">
        <is>
          <t>Loss-sensitive</t>
        </is>
      </c>
      <c r="C15" s="11" t="inlineStr">
        <is>
          <t>Loss-sensitive (eligible data assumed) or BIC-only (ILM = 1)</t>
        </is>
      </c>
    </row>
    <row r="16">
      <c r="A16" s="9" t="inlineStr">
        <is>
          <t>Unit of all amounts</t>
        </is>
      </c>
      <c r="B16" s="17">
        <f>IF(B14="Basel","€ million","₹ crore")</f>
        <v/>
      </c>
    </row>
    <row r="18" ht="20" customHeight="1">
      <c r="A18" s="16" t="inlineStr">
        <is>
          <t>Checks and display</t>
        </is>
      </c>
    </row>
    <row r="19">
      <c r="A19" s="9" t="inlineStr">
        <is>
          <t>LC / BIC</t>
        </is>
      </c>
      <c r="B19" s="23">
        <f>IF(B7&gt;0,B8/B7,0)</f>
        <v/>
      </c>
    </row>
    <row r="20">
      <c r="A20" s="9" t="inlineStr">
        <is>
          <t>Loss Component as displayed</t>
        </is>
      </c>
      <c r="B20" s="17">
        <f>IF(B6=1,"— not applied in bucket 1",IF(B15="BIC-only","— not applied (BIC-only)",TEXT(B8,"#,##0.00")))</f>
        <v/>
      </c>
    </row>
    <row r="21">
      <c r="A21" s="9" t="inlineStr">
        <is>
          <t>Effective BIC rate = BIC ÷ BI</t>
        </is>
      </c>
      <c r="B21" s="24">
        <f>IF(B2&gt;0,B7/B2,0)</f>
        <v/>
      </c>
    </row>
    <row r="22">
      <c r="A22" s="9" t="inlineStr">
        <is>
          <t>Wrong method: top coefficient × whole BI</t>
        </is>
      </c>
      <c r="B22" s="14">
        <f>IF(B6=1,12%,IF(B6=2,15%,18%))*B2</f>
        <v/>
      </c>
      <c r="C22" s="11" t="inlineStr">
        <is>
          <t>Overstates BIC — the coefficient is marginal, not applied to the whole BI</t>
        </is>
      </c>
    </row>
    <row r="23" ht="30" customHeight="1">
      <c r="A23" s="9" t="inlineStr">
        <is>
          <t>Status</t>
        </is>
      </c>
      <c r="B23" s="17">
        <f>IF(B6=1,"Bucket 1: ORC = BIC; loss history does not alter the charge",IF(B15="BIC-only","BIC-only illustration: ILM fixed at 1","Loss-sensitive formula applied assuming eligible data; LC/BIC = "&amp;TEXT(B19,"0.0000")))</f>
        <v/>
      </c>
      <c r="C23" s="18" t="n"/>
    </row>
    <row r="25" ht="36" customHeight="1">
      <c r="A25" s="19" t="inlineStr">
        <is>
          <t>Article cells: SA!B2/B3 inputs, B4/B5 thresholds, B7 BIC, B8 LC, B9 ILM, B10 ORC, B11 RWA. Expected with the article's data: 1,560.00 · 2,250.00 · 1.117996 · 1,744.07 · 21,800.92. Try BI = 3,50,000 (BIC 55,560; effective 15.87%) or BI = 713.3333 (bucket 1, ORC 85.60).</t>
        </is>
      </c>
    </row>
  </sheetData>
  <mergeCells count="4">
    <mergeCell ref="B23:C23"/>
    <mergeCell ref="A18:C18"/>
    <mergeCell ref="A13:C13"/>
    <mergeCell ref="A25:C25"/>
  </mergeCells>
  <dataValidations count="2">
    <dataValidation sqref="B14" showDropDown="0" showInputMessage="0" showErrorMessage="0" allowBlank="0" type="list">
      <formula1>"RBI,Basel"</formula1>
    </dataValidation>
    <dataValidation sqref="B15" showDropDown="0" showInputMessage="0" showErrorMessage="0" allowBlank="0" type="list">
      <formula1>"Loss-sensitive,BIC-only"</formula1>
    </dataValidation>
  </dataValidations>
  <pageMargins left="0.75" right="0.75" top="1" bottom="1" header="0.5" footer="0.5"/>
  <pageSetup orientation="landscape" fitToHeight="0"/>
  <headerFooter>
    <oddHeader>&amp;CBasel Capital Adequacy for Operational Risk — Section 24</oddHeader>
    <oddFooter>&amp;LThe Mountain Path Academy · https://themountainpathacademy.com&amp;RProf. V. Ravichandran · Page &amp;P of &amp;N</oddFooter>
    <evenHeader/>
    <evenFooter/>
    <firstHeader/>
    <firstFooter/>
  </headerFooter>
</worksheet>
</file>

<file path=xl/worksheets/sheet4.xml><?xml version="1.0" encoding="utf-8"?>
<worksheet xmlns="http://schemas.openxmlformats.org/spreadsheetml/2006/main">
  <sheetPr>
    <tabColor rgb="FF004D80"/>
    <outlinePr summaryBelow="1" summaryRight="1"/>
    <pageSetUpPr fitToPage="1"/>
  </sheetPr>
  <dimension ref="A1:C27"/>
  <sheetViews>
    <sheetView showGridLines="0" workbookViewId="0">
      <pane ySplit="1" topLeftCell="A2" activePane="bottomLeft" state="frozen"/>
      <selection pane="bottomLeft" activeCell="A1" sqref="A1"/>
    </sheetView>
  </sheetViews>
  <sheetFormatPr baseColWidth="8" defaultRowHeight="15"/>
  <cols>
    <col width="46" customWidth="1" min="1" max="1"/>
    <col width="18" customWidth="1" min="2" max="2"/>
    <col width="70" customWidth="1" min="3" max="3"/>
  </cols>
  <sheetData>
    <row r="1" ht="24" customHeight="1">
      <c r="A1" s="8" t="inlineStr">
        <is>
          <t>Item</t>
        </is>
      </c>
      <c r="B1" s="8" t="inlineStr">
        <is>
          <t>Value</t>
        </is>
      </c>
      <c r="C1" s="8" t="inlineStr">
        <is>
          <t>Formula / note</t>
        </is>
      </c>
    </row>
    <row r="2">
      <c r="A2" s="9" t="inlineStr">
        <is>
          <t>Operational-risk capital charge (ORC)</t>
        </is>
      </c>
      <c r="B2" s="10" t="n">
        <v>8</v>
      </c>
      <c r="C2" s="11" t="inlineStr">
        <is>
          <t>Input — ₹ crore</t>
        </is>
      </c>
    </row>
    <row r="3">
      <c r="A3" s="9" t="inlineStr">
        <is>
          <t>Credit / CVA RWA</t>
        </is>
      </c>
      <c r="B3" s="10" t="n">
        <v>800</v>
      </c>
      <c r="C3" s="11" t="inlineStr">
        <is>
          <t>Input — ₹ crore</t>
        </is>
      </c>
    </row>
    <row r="4">
      <c r="A4" s="9" t="inlineStr">
        <is>
          <t>Market RWA</t>
        </is>
      </c>
      <c r="B4" s="10" t="n">
        <v>100</v>
      </c>
      <c r="C4" s="11" t="inlineStr">
        <is>
          <t>Input — ₹ crore</t>
        </is>
      </c>
    </row>
    <row r="5">
      <c r="A5" s="9" t="inlineStr">
        <is>
          <t>CET1 capital</t>
        </is>
      </c>
      <c r="B5" s="10" t="n">
        <v>80</v>
      </c>
      <c r="C5" s="11" t="inlineStr">
        <is>
          <t>Input — ₹ crore</t>
        </is>
      </c>
    </row>
    <row r="6">
      <c r="A6" s="9" t="inlineStr">
        <is>
          <t>AT1 capital</t>
        </is>
      </c>
      <c r="B6" s="10" t="n">
        <v>15</v>
      </c>
      <c r="C6" s="11" t="inlineStr">
        <is>
          <t>Input — ₹ crore</t>
        </is>
      </c>
    </row>
    <row r="7">
      <c r="A7" s="9" t="inlineStr">
        <is>
          <t>Tier 2 capital</t>
        </is>
      </c>
      <c r="B7" s="10" t="n">
        <v>20</v>
      </c>
      <c r="C7" s="11" t="inlineStr">
        <is>
          <t>Input — ₹ crore</t>
        </is>
      </c>
    </row>
    <row r="8">
      <c r="A8" s="9" t="inlineStr">
        <is>
          <t>Operational RWA = 12.5 × ORC</t>
        </is>
      </c>
      <c r="B8" s="14">
        <f>12.5*B2</f>
        <v/>
      </c>
      <c r="C8" s="11" t="inlineStr">
        <is>
          <t>Extension — 1 ÷ 8% = 12.5, not 1 ÷ 9%</t>
        </is>
      </c>
    </row>
    <row r="9">
      <c r="A9" s="13" t="inlineStr">
        <is>
          <t>Total RWA</t>
        </is>
      </c>
      <c r="B9" s="15">
        <f>12.5*B2+B3+B4</f>
        <v/>
      </c>
      <c r="C9" s="11" t="inlineStr">
        <is>
          <t>=12.5*B2+B3+B4</t>
        </is>
      </c>
    </row>
    <row r="10">
      <c r="A10" s="13" t="inlineStr">
        <is>
          <t>CET1 ratio</t>
        </is>
      </c>
      <c r="B10" s="25">
        <f>B5/B9</f>
        <v/>
      </c>
      <c r="C10" s="11" t="inlineStr">
        <is>
          <t>=B5/B9</t>
        </is>
      </c>
    </row>
    <row r="11">
      <c r="A11" s="13" t="inlineStr">
        <is>
          <t>Tier 1 ratio</t>
        </is>
      </c>
      <c r="B11" s="25">
        <f>(B5+B6)/B9</f>
        <v/>
      </c>
      <c r="C11" s="11" t="inlineStr">
        <is>
          <t>=(B5+B6)/B9</t>
        </is>
      </c>
    </row>
    <row r="12">
      <c r="A12" s="13" t="inlineStr">
        <is>
          <t>Total capital ratio</t>
        </is>
      </c>
      <c r="B12" s="25">
        <f>SUM(B5:B7)/B9</f>
        <v/>
      </c>
      <c r="C12" s="11" t="inlineStr">
        <is>
          <t>=SUM(B5:B7)/B9</t>
        </is>
      </c>
    </row>
    <row r="14">
      <c r="A14" s="9" t="inlineStr">
        <is>
          <t>Target CET1 (RBI 5.5% + 2.5% CCB)</t>
        </is>
      </c>
      <c r="B14" s="26" t="n">
        <v>0.08</v>
      </c>
      <c r="C14" s="11" t="inlineStr">
        <is>
          <t>Basel equivalents: 7.0% / 8.5% / 10.5%</t>
        </is>
      </c>
    </row>
    <row r="15">
      <c r="A15" s="9" t="inlineStr">
        <is>
          <t>Target Tier 1 (RBI 7% + 2.5% CCB)</t>
        </is>
      </c>
      <c r="B15" s="26" t="n">
        <v>0.095</v>
      </c>
      <c r="C15" s="11" t="inlineStr">
        <is>
          <t>Basel equivalents: 7.0% / 8.5% / 10.5%</t>
        </is>
      </c>
    </row>
    <row r="16">
      <c r="A16" s="9" t="inlineStr">
        <is>
          <t>Target total (RBI 9% + 2.5% CCB)</t>
        </is>
      </c>
      <c r="B16" s="26" t="n">
        <v>0.115</v>
      </c>
      <c r="C16" s="11" t="inlineStr">
        <is>
          <t>Basel equivalents: 7.0% / 8.5% / 10.5%</t>
        </is>
      </c>
    </row>
    <row r="18">
      <c r="A18" s="13" t="inlineStr">
        <is>
          <t>Additional CET1 alone to meet all three</t>
        </is>
      </c>
      <c r="B18" s="15">
        <f>MAX(0,B14*B9-B5,B15*B9-SUM(B5:B6),B16*B9-SUM(B5:B7))</f>
        <v/>
      </c>
      <c r="C18" s="11" t="inlineStr">
        <is>
          <t>=MAX(0,B14*B9-B5,B15*B9-SUM(B5:B6),B16*B9-SUM(B5:B7))</t>
        </is>
      </c>
    </row>
    <row r="20" ht="20" customHeight="1">
      <c r="A20" s="16" t="inlineStr">
        <is>
          <t>Checks and extensions</t>
        </is>
      </c>
    </row>
    <row r="21">
      <c r="A21" s="9" t="inlineStr">
        <is>
          <t>CET1 shortfall</t>
        </is>
      </c>
      <c r="B21" s="14">
        <f>MAX(0,B14*B9-B5)</f>
        <v/>
      </c>
    </row>
    <row r="22">
      <c r="A22" s="9" t="inlineStr">
        <is>
          <t>AT1 shortfall after CET1 shortfall is met</t>
        </is>
      </c>
      <c r="B22" s="14">
        <f>MAX(0,B15*B9-SUM(B5:B6)-B21)</f>
        <v/>
      </c>
    </row>
    <row r="23">
      <c r="A23" s="9" t="inlineStr">
        <is>
          <t>Tier 2 shortfall after the above</t>
        </is>
      </c>
      <c r="B23" s="14">
        <f>MAX(0,B16*B9-SUM(B5:B7)-B21-B22)</f>
        <v/>
      </c>
    </row>
    <row r="24">
      <c r="A24" s="9" t="inlineStr">
        <is>
          <t>Minimum qualifying mix (total)</t>
        </is>
      </c>
      <c r="B24" s="14">
        <f>SUM(B21:B23)</f>
        <v/>
      </c>
    </row>
    <row r="25" ht="30" customHeight="1">
      <c r="A25" s="9" t="inlineStr">
        <is>
          <t>Status</t>
        </is>
      </c>
      <c r="B25" s="17">
        <f>IF(B18=0,"Meets all three RBI combined baseline thresholds","Shortfall: add "&amp;TEXT(B18,"#,##0.00")&amp;" crore CET1, or the qualifying mix in B21:B23")</f>
        <v/>
      </c>
      <c r="C25" s="18" t="n"/>
    </row>
    <row r="27" ht="50" customHeight="1">
      <c r="A27" s="19" t="inlineStr">
        <is>
          <t>Article cells: Capital!B2:B7 inputs, B9 total RWA, B10–B12 ratios, B14:B16 targets, B18 extra CET1. Base case: 1,000.00 · 8.00% · 9.50% · 11.50% · 0.00. Change B2 to 12 for the higher-charge case: 1,050.00 · 7.62% · 9.05% · 10.95% · 5.75 (mix: 4.00 + 0.75 + 1.00). Excludes D-SIB / countercyclical buffers, Pillar 2, leverage ratio and output-floor effects.</t>
        </is>
      </c>
    </row>
  </sheetData>
  <mergeCells count="3">
    <mergeCell ref="B25:C25"/>
    <mergeCell ref="A27:C27"/>
    <mergeCell ref="A20:C20"/>
  </mergeCells>
  <pageMargins left="0.75" right="0.75" top="1" bottom="1" header="0.5" footer="0.5"/>
  <pageSetup orientation="landscape" fitToHeight="0"/>
  <headerFooter>
    <oddHeader>&amp;CBasel Capital Adequacy for Operational Risk — Section 24</oddHeader>
    <oddFooter>&amp;LThe Mountain Path Academy · https://themountainpathacademy.com&amp;RProf. V. Ravichandran · Page &amp;P of &amp;N</oddFooter>
    <evenHeader/>
    <evenFooter/>
    <firstHeader/>
    <firstFooter/>
  </headerFooter>
</worksheet>
</file>

<file path=xl/worksheets/sheet5.xml><?xml version="1.0" encoding="utf-8"?>
<worksheet xmlns="http://schemas.openxmlformats.org/spreadsheetml/2006/main">
  <sheetPr>
    <tabColor rgb="FF1E7F82"/>
    <outlinePr summaryBelow="1" summaryRight="1"/>
    <pageSetUpPr fitToPage="1"/>
  </sheetPr>
  <dimension ref="A1:F24"/>
  <sheetViews>
    <sheetView showGridLines="0" workbookViewId="0">
      <pane ySplit="1" topLeftCell="A2" activePane="bottomLeft" state="frozen"/>
      <selection pane="bottomLeft" activeCell="A1" sqref="A1"/>
    </sheetView>
  </sheetViews>
  <sheetFormatPr baseColWidth="8" defaultRowHeight="15"/>
  <cols>
    <col width="38" customWidth="1" min="1" max="1"/>
    <col width="13" customWidth="1" min="2" max="2"/>
    <col width="13" customWidth="1" min="3" max="3"/>
    <col width="13" customWidth="1" min="4" max="4"/>
    <col width="16" customWidth="1" min="5" max="5"/>
    <col width="52" customWidth="1" min="6" max="6"/>
  </cols>
  <sheetData>
    <row r="1" ht="24" customHeight="1">
      <c r="A1" s="8" t="inlineStr">
        <is>
          <t>Item</t>
        </is>
      </c>
      <c r="B1" s="8" t="inlineStr">
        <is>
          <t>Year 1</t>
        </is>
      </c>
      <c r="C1" s="8" t="inlineStr">
        <is>
          <t>Year 2</t>
        </is>
      </c>
      <c r="D1" s="8" t="inlineStr">
        <is>
          <t>Year 3</t>
        </is>
      </c>
      <c r="E1" s="8" t="inlineStr">
        <is>
          <t>Average used</t>
        </is>
      </c>
      <c r="F1" s="8" t="inlineStr">
        <is>
          <t>Note</t>
        </is>
      </c>
    </row>
    <row r="2">
      <c r="A2" s="9" t="inlineStr">
        <is>
          <t>Interest income</t>
        </is>
      </c>
      <c r="B2" s="27" t="n">
        <v>1000</v>
      </c>
      <c r="C2" s="27" t="n">
        <v>1100</v>
      </c>
      <c r="D2" s="27" t="n">
        <v>1200</v>
      </c>
      <c r="E2" s="14">
        <f>AVERAGE(B2:D2)</f>
        <v/>
      </c>
    </row>
    <row r="3">
      <c r="A3" s="9" t="inlineStr">
        <is>
          <t>Interest expense</t>
        </is>
      </c>
      <c r="B3" s="27" t="n">
        <v>600</v>
      </c>
      <c r="C3" s="27" t="n">
        <v>700</v>
      </c>
      <c r="D3" s="27" t="n">
        <v>800</v>
      </c>
      <c r="E3" s="14">
        <f>AVERAGE(B3:D3)</f>
        <v/>
      </c>
    </row>
    <row r="4">
      <c r="A4" s="9" t="inlineStr">
        <is>
          <t>Interest-earning assets</t>
        </is>
      </c>
      <c r="B4" s="27" t="n">
        <v>15000</v>
      </c>
      <c r="C4" s="27" t="n">
        <v>16000</v>
      </c>
      <c r="D4" s="27" t="n">
        <v>17000</v>
      </c>
      <c r="E4" s="14">
        <f>AVERAGE(B4:D4)</f>
        <v/>
      </c>
    </row>
    <row r="5">
      <c r="A5" s="9" t="inlineStr">
        <is>
          <t>Dividend income</t>
        </is>
      </c>
      <c r="B5" s="27" t="n">
        <v>15</v>
      </c>
      <c r="C5" s="27" t="n">
        <v>20</v>
      </c>
      <c r="D5" s="27" t="n">
        <v>25</v>
      </c>
      <c r="E5" s="14">
        <f>AVERAGE(B5:D5)</f>
        <v/>
      </c>
    </row>
    <row r="6">
      <c r="A6" s="9" t="inlineStr">
        <is>
          <t>Fee income</t>
        </is>
      </c>
      <c r="B6" s="27" t="n">
        <v>180</v>
      </c>
      <c r="C6" s="27" t="n">
        <v>200</v>
      </c>
      <c r="D6" s="27" t="n">
        <v>220</v>
      </c>
      <c r="E6" s="14">
        <f>AVERAGE(B6:D6)</f>
        <v/>
      </c>
    </row>
    <row r="7">
      <c r="A7" s="9" t="inlineStr">
        <is>
          <t>Fee expense</t>
        </is>
      </c>
      <c r="B7" s="27" t="n">
        <v>40</v>
      </c>
      <c r="C7" s="27" t="n">
        <v>50</v>
      </c>
      <c r="D7" s="27" t="n">
        <v>60</v>
      </c>
      <c r="E7" s="14">
        <f>AVERAGE(B7:D7)</f>
        <v/>
      </c>
    </row>
    <row r="8">
      <c r="A8" s="9" t="inlineStr">
        <is>
          <t>Other operating income</t>
        </is>
      </c>
      <c r="B8" s="27" t="n">
        <v>20</v>
      </c>
      <c r="C8" s="27" t="n">
        <v>30</v>
      </c>
      <c r="D8" s="27" t="n">
        <v>40</v>
      </c>
      <c r="E8" s="14">
        <f>AVERAGE(B8:D8)</f>
        <v/>
      </c>
    </row>
    <row r="9">
      <c r="A9" s="9" t="inlineStr">
        <is>
          <t>Other operating expense</t>
        </is>
      </c>
      <c r="B9" s="27" t="n">
        <v>30</v>
      </c>
      <c r="C9" s="27" t="n">
        <v>40</v>
      </c>
      <c r="D9" s="27" t="n">
        <v>50</v>
      </c>
      <c r="E9" s="14">
        <f>AVERAGE(B9:D9)</f>
        <v/>
      </c>
    </row>
    <row r="10">
      <c r="A10" s="9" t="inlineStr">
        <is>
          <t>Net trading-book P&amp;L</t>
        </is>
      </c>
      <c r="B10" s="27" t="n">
        <v>100</v>
      </c>
      <c r="C10" s="27" t="n">
        <v>-80</v>
      </c>
      <c r="D10" s="27" t="n">
        <v>40</v>
      </c>
      <c r="E10" s="14">
        <f>AVERAGE(B10:D10)</f>
        <v/>
      </c>
    </row>
    <row r="11">
      <c r="A11" s="9" t="inlineStr">
        <is>
          <t>Net banking-book financial P&amp;L</t>
        </is>
      </c>
      <c r="B11" s="27" t="n">
        <v>30</v>
      </c>
      <c r="C11" s="27" t="n">
        <v>-20</v>
      </c>
      <c r="D11" s="27" t="n">
        <v>10</v>
      </c>
      <c r="E11" s="14">
        <f>AVERAGE(B11:D11)</f>
        <v/>
      </c>
    </row>
    <row r="12">
      <c r="A12" s="9" t="inlineStr">
        <is>
          <t>|Interest income − expense| by year</t>
        </is>
      </c>
      <c r="B12" s="14">
        <f>ABS(B2-B3)</f>
        <v/>
      </c>
      <c r="C12" s="14">
        <f>ABS(C2-C3)</f>
        <v/>
      </c>
      <c r="D12" s="14">
        <f>ABS(D2-D3)</f>
        <v/>
      </c>
      <c r="E12" s="14">
        <f>AVERAGE(B12:D12)</f>
        <v/>
      </c>
      <c r="F12" s="11" t="inlineStr">
        <is>
          <t>Absolute value year by year, THEN average</t>
        </is>
      </c>
    </row>
    <row r="13">
      <c r="A13" s="9" t="inlineStr">
        <is>
          <t>|Trading-book P&amp;L| by year</t>
        </is>
      </c>
      <c r="B13" s="14">
        <f>ABS(B10)</f>
        <v/>
      </c>
      <c r="C13" s="14">
        <f>ABS(C10)</f>
        <v/>
      </c>
      <c r="D13" s="14">
        <f>ABS(D10)</f>
        <v/>
      </c>
      <c r="E13" s="28">
        <f>AVERAGE(B13:D13)</f>
        <v/>
      </c>
      <c r="F13" s="11" t="inlineStr">
        <is>
          <t>73.3333, not |average| = 20</t>
        </is>
      </c>
    </row>
    <row r="14">
      <c r="A14" s="9" t="inlineStr">
        <is>
          <t>|Banking-book P&amp;L| by year</t>
        </is>
      </c>
      <c r="B14" s="14">
        <f>ABS(B11)</f>
        <v/>
      </c>
      <c r="C14" s="14">
        <f>ABS(C11)</f>
        <v/>
      </c>
      <c r="D14" s="14">
        <f>ABS(D11)</f>
        <v/>
      </c>
      <c r="E14" s="28">
        <f>AVERAGE(B14:D14)</f>
        <v/>
      </c>
    </row>
    <row r="16">
      <c r="A16" s="13" t="inlineStr">
        <is>
          <t>ILDC = MIN(avg |NII|, 2.25% × avg IEA) + avg dividends</t>
        </is>
      </c>
      <c r="B16" s="29" t="n"/>
      <c r="C16" s="29" t="n"/>
      <c r="D16" s="18" t="n"/>
      <c r="E16" s="30">
        <f>MIN(E12,2.25%*E4)+E5</f>
        <v/>
      </c>
    </row>
    <row r="17">
      <c r="A17" s="13" t="inlineStr">
        <is>
          <t>SC = MAX(avg fee inc, avg fee exp) + MAX(avg OOI, avg OOE)</t>
        </is>
      </c>
      <c r="B17" s="29" t="n"/>
      <c r="C17" s="29" t="n"/>
      <c r="D17" s="18" t="n"/>
      <c r="E17" s="30">
        <f>MAX(E6,E7)+MAX(E8,E9)</f>
        <v/>
      </c>
      <c r="F17" s="11" t="inlineStr">
        <is>
          <t>Maxima applied to the 3-year averages</t>
        </is>
      </c>
    </row>
    <row r="18">
      <c r="A18" s="13" t="inlineStr">
        <is>
          <t>FC = avg |TB P&amp;L| + avg |BB P&amp;L|</t>
        </is>
      </c>
      <c r="B18" s="29" t="n"/>
      <c r="C18" s="29" t="n"/>
      <c r="D18" s="18" t="n"/>
      <c r="E18" s="30">
        <f>E13+E14</f>
        <v/>
      </c>
    </row>
    <row r="19">
      <c r="A19" s="13" t="inlineStr">
        <is>
          <t>BI = ILDC + SC + FC</t>
        </is>
      </c>
      <c r="B19" s="29" t="n"/>
      <c r="C19" s="29" t="n"/>
      <c r="D19" s="18" t="n"/>
      <c r="E19" s="30">
        <f>SUM(E16:E18)</f>
        <v/>
      </c>
    </row>
    <row r="20">
      <c r="A20" s="13" t="inlineStr">
        <is>
          <t>BIC (RBI bucket 1, 12%)</t>
        </is>
      </c>
      <c r="B20" s="29" t="n"/>
      <c r="C20" s="29" t="n"/>
      <c r="D20" s="18" t="n"/>
      <c r="E20" s="15">
        <f>12%*MIN(E19,8000)+15%*MIN(MAX(E19-8000,0),232000)+18%*MAX(E19-240000,0)</f>
        <v/>
      </c>
    </row>
    <row r="21">
      <c r="A21" s="9" t="inlineStr">
        <is>
          <t>ORC (bucket 1: ILM = 1)</t>
        </is>
      </c>
      <c r="B21" s="29" t="n"/>
      <c r="C21" s="29" t="n"/>
      <c r="D21" s="18" t="n"/>
      <c r="E21" s="14">
        <f>E20</f>
        <v/>
      </c>
    </row>
    <row r="22">
      <c r="A22" s="13" t="inlineStr">
        <is>
          <t>Operational RWA = 12.5 × ORC</t>
        </is>
      </c>
      <c r="B22" s="29" t="n"/>
      <c r="C22" s="29" t="n"/>
      <c r="D22" s="18" t="n"/>
      <c r="E22" s="15">
        <f>12.5*E21</f>
        <v/>
      </c>
    </row>
    <row r="24" ht="38" customHeight="1">
      <c r="A24" s="19" t="inlineStr">
        <is>
          <t>Expected (article Section 14): ILDC 380 · SC 240 · FC 93.3333 · BI 713.3333 · BIC 85.60 · RWA 1,070.00. BI mapping follows the RBI indicative schedule mapping (Oct 2026 amendment).</t>
        </is>
      </c>
    </row>
  </sheetData>
  <mergeCells count="8">
    <mergeCell ref="A24:F24"/>
    <mergeCell ref="A17:D17"/>
    <mergeCell ref="A18:D18"/>
    <mergeCell ref="A22:D22"/>
    <mergeCell ref="A20:D20"/>
    <mergeCell ref="A21:D21"/>
    <mergeCell ref="A19:D19"/>
    <mergeCell ref="A16:D16"/>
  </mergeCells>
  <pageMargins left="0.75" right="0.75" top="1" bottom="1" header="0.5" footer="0.5"/>
  <pageSetup orientation="landscape" fitToHeight="0"/>
  <headerFooter>
    <oddHeader>&amp;CBasel Capital Adequacy for Operational Risk — Section 24</oddHeader>
    <oddFooter>&amp;LThe Mountain Path Academy · https://themountainpathacademy.com&amp;RProf. V. Ravichandran · Page &amp;P of &amp;N</oddFooter>
    <evenHeader/>
    <evenFooter/>
    <firstHeader/>
    <firstFooter/>
  </headerFooter>
</worksheet>
</file>

<file path=xl/worksheets/sheet6.xml><?xml version="1.0" encoding="utf-8"?>
<worksheet xmlns="http://schemas.openxmlformats.org/spreadsheetml/2006/main">
  <sheetPr>
    <tabColor rgb="FF1E7F82"/>
    <outlinePr summaryBelow="1" summaryRight="1"/>
    <pageSetUpPr fitToPage="1"/>
  </sheetPr>
  <dimension ref="A1:E17"/>
  <sheetViews>
    <sheetView showGridLines="0" workbookViewId="0">
      <pane ySplit="1" topLeftCell="A2" activePane="bottomLeft" state="frozen"/>
      <selection pane="bottomLeft" activeCell="A1" sqref="A1"/>
    </sheetView>
  </sheetViews>
  <sheetFormatPr baseColWidth="8" defaultRowHeight="15"/>
  <cols>
    <col width="30" customWidth="1" min="1" max="1"/>
    <col width="10" customWidth="1" min="2" max="2"/>
    <col width="14" customWidth="1" min="3" max="3"/>
    <col width="16" customWidth="1" min="4" max="4"/>
    <col width="60" customWidth="1" min="5" max="5"/>
  </cols>
  <sheetData>
    <row r="1" ht="24" customHeight="1">
      <c r="A1" s="8" t="inlineStr">
        <is>
          <t>Business line</t>
        </is>
      </c>
      <c r="B1" s="8" t="inlineStr">
        <is>
          <t>Beta</t>
        </is>
      </c>
      <c r="C1" s="8" t="inlineStr">
        <is>
          <t>Year 1 GI</t>
        </is>
      </c>
      <c r="D1" s="8" t="inlineStr">
        <is>
          <t>Year 1 β × GI</t>
        </is>
      </c>
      <c r="E1" s="8" t="inlineStr">
        <is>
          <t>Note</t>
        </is>
      </c>
    </row>
    <row r="2">
      <c r="A2" s="9" t="inlineStr">
        <is>
          <t>Corporate finance</t>
        </is>
      </c>
      <c r="B2" s="31" t="n">
        <v>0.18</v>
      </c>
      <c r="C2" s="27" t="n">
        <v>100</v>
      </c>
      <c r="D2" s="14">
        <f>B2*C2</f>
        <v/>
      </c>
    </row>
    <row r="3">
      <c r="A3" s="9" t="inlineStr">
        <is>
          <t>Trading and sales</t>
        </is>
      </c>
      <c r="B3" s="31" t="n">
        <v>0.18</v>
      </c>
      <c r="C3" s="27" t="n">
        <v>200</v>
      </c>
      <c r="D3" s="14">
        <f>B3*C3</f>
        <v/>
      </c>
    </row>
    <row r="4">
      <c r="A4" s="9" t="inlineStr">
        <is>
          <t>Retail banking</t>
        </is>
      </c>
      <c r="B4" s="31" t="n">
        <v>0.12</v>
      </c>
      <c r="C4" s="27" t="n">
        <v>400</v>
      </c>
      <c r="D4" s="14">
        <f>B4*C4</f>
        <v/>
      </c>
    </row>
    <row r="5">
      <c r="A5" s="9" t="inlineStr">
        <is>
          <t>Commercial banking</t>
        </is>
      </c>
      <c r="B5" s="31" t="n">
        <v>0.15</v>
      </c>
      <c r="C5" s="27" t="n">
        <v>300</v>
      </c>
      <c r="D5" s="14">
        <f>B5*C5</f>
        <v/>
      </c>
    </row>
    <row r="6">
      <c r="A6" s="9" t="inlineStr">
        <is>
          <t>Payment and settlement</t>
        </is>
      </c>
      <c r="B6" s="31" t="n">
        <v>0.18</v>
      </c>
      <c r="C6" s="27" t="n">
        <v>80</v>
      </c>
      <c r="D6" s="14">
        <f>B6*C6</f>
        <v/>
      </c>
    </row>
    <row r="7">
      <c r="A7" s="9" t="inlineStr">
        <is>
          <t>Agency services</t>
        </is>
      </c>
      <c r="B7" s="31" t="n">
        <v>0.15</v>
      </c>
      <c r="C7" s="27" t="n">
        <v>60</v>
      </c>
      <c r="D7" s="14">
        <f>B7*C7</f>
        <v/>
      </c>
    </row>
    <row r="8">
      <c r="A8" s="9" t="inlineStr">
        <is>
          <t>Asset management</t>
        </is>
      </c>
      <c r="B8" s="31" t="n">
        <v>0.12</v>
      </c>
      <c r="C8" s="27" t="n">
        <v>50</v>
      </c>
      <c r="D8" s="14">
        <f>B8*C8</f>
        <v/>
      </c>
    </row>
    <row r="9">
      <c r="A9" s="9" t="inlineStr">
        <is>
          <t>Retail brokerage</t>
        </is>
      </c>
      <c r="B9" s="31" t="n">
        <v>0.12</v>
      </c>
      <c r="C9" s="27" t="n">
        <v>40</v>
      </c>
      <c r="D9" s="14">
        <f>B9*C9</f>
        <v/>
      </c>
    </row>
    <row r="10">
      <c r="A10" s="13" t="inlineStr">
        <is>
          <t>Year 1 weighted aggregate</t>
        </is>
      </c>
      <c r="B10" s="29" t="n"/>
      <c r="C10" s="18" t="n"/>
      <c r="D10" s="15">
        <f>SUM(D2:D9)</f>
        <v/>
      </c>
    </row>
    <row r="11">
      <c r="A11" s="9" t="inlineStr">
        <is>
          <t>Year 2 weighted aggregate (given)</t>
        </is>
      </c>
      <c r="B11" s="29" t="n"/>
      <c r="C11" s="18" t="n"/>
      <c r="D11" s="10" t="n">
        <v>-20</v>
      </c>
    </row>
    <row r="12">
      <c r="A12" s="9" t="inlineStr">
        <is>
          <t>Year 3 weighted aggregate (given)</t>
        </is>
      </c>
      <c r="B12" s="29" t="n"/>
      <c r="C12" s="18" t="n"/>
      <c r="D12" s="10" t="n">
        <v>210</v>
      </c>
    </row>
    <row r="13">
      <c r="A13" s="13" t="inlineStr">
        <is>
          <t>K(TSA) = [max(Y1,0) + max(Y2,0) + max(Y3,0)] ÷ 3</t>
        </is>
      </c>
      <c r="B13" s="29" t="n"/>
      <c r="C13" s="18" t="n"/>
      <c r="D13" s="15">
        <f>(MAX(D10,0)+MAX(D11,0)+MAX(D12,0))/3</f>
        <v/>
      </c>
      <c r="E13" s="11" t="inlineStr">
        <is>
          <t>Always divide by 3 — the floored year counts as zero</t>
        </is>
      </c>
    </row>
    <row r="14">
      <c r="A14" s="13" t="inlineStr">
        <is>
          <t>Operational RWA = 12.5 × K</t>
        </is>
      </c>
      <c r="B14" s="29" t="n"/>
      <c r="C14" s="18" t="n"/>
      <c r="D14" s="15">
        <f>12.5*D13</f>
        <v/>
      </c>
    </row>
    <row r="15">
      <c r="A15" s="9" t="inlineStr">
        <is>
          <t>Wrong: divide by 2</t>
        </is>
      </c>
      <c r="B15" s="29" t="n"/>
      <c r="C15" s="18" t="n"/>
      <c r="D15" s="14">
        <f>(MAX(D10,0)+MAX(D11,0)+MAX(D12,0))/2</f>
        <v/>
      </c>
      <c r="E15" s="11" t="inlineStr">
        <is>
          <t>BIA habit — overstates K under TSA</t>
        </is>
      </c>
    </row>
    <row r="17" ht="38" customHeight="1">
      <c r="A17" s="19" t="inlineStr">
        <is>
          <t>Expected (article Section 8): Year 1 = 181.20 · K = 130.40 · RWA = 1,630.00. Floor each year's TOTAL after aggregating lines — never floor each line.</t>
        </is>
      </c>
    </row>
  </sheetData>
  <mergeCells count="7">
    <mergeCell ref="A10:C10"/>
    <mergeCell ref="A13:C13"/>
    <mergeCell ref="A11:C11"/>
    <mergeCell ref="A14:C14"/>
    <mergeCell ref="A12:C12"/>
    <mergeCell ref="A17:E17"/>
    <mergeCell ref="A15:C15"/>
  </mergeCells>
  <pageMargins left="0.75" right="0.75" top="1" bottom="1" header="0.5" footer="0.5"/>
  <pageSetup orientation="landscape" fitToHeight="0"/>
  <headerFooter>
    <oddHeader>&amp;CBasel Capital Adequacy for Operational Risk — Section 24</oddHeader>
    <oddFooter>&amp;LThe Mountain Path Academy · https://themountainpathacademy.com&amp;RProf. V. Ravichandran · Page &amp;P of &amp;N</oddFooter>
    <evenHeader/>
    <evenFooter/>
    <firstHeader/>
    <firstFooter/>
  </headerFooter>
</worksheet>
</file>

<file path=xl/worksheets/sheet7.xml><?xml version="1.0" encoding="utf-8"?>
<worksheet xmlns="http://schemas.openxmlformats.org/spreadsheetml/2006/main">
  <sheetPr>
    <tabColor rgb="FF1E7F82"/>
    <outlinePr summaryBelow="1" summaryRight="1"/>
    <pageSetUpPr fitToPage="1"/>
  </sheetPr>
  <dimension ref="A1:C17"/>
  <sheetViews>
    <sheetView showGridLines="0" workbookViewId="0">
      <pane ySplit="1" topLeftCell="A2" activePane="bottomLeft" state="frozen"/>
      <selection pane="bottomLeft" activeCell="A1" sqref="A1"/>
    </sheetView>
  </sheetViews>
  <sheetFormatPr baseColWidth="8" defaultRowHeight="15"/>
  <cols>
    <col width="14" customWidth="1" min="1" max="1"/>
    <col width="14" customWidth="1" min="2" max="2"/>
    <col width="70" customWidth="1" min="3" max="3"/>
  </cols>
  <sheetData>
    <row r="1" ht="24" customHeight="1">
      <c r="A1" s="8" t="inlineStr">
        <is>
          <t>LC / BIC</t>
        </is>
      </c>
      <c r="B1" s="8" t="inlineStr">
        <is>
          <t>ILM</t>
        </is>
      </c>
      <c r="C1" s="8" t="inlineStr">
        <is>
          <t>Note</t>
        </is>
      </c>
    </row>
    <row r="2">
      <c r="A2" s="32" t="n">
        <v>0</v>
      </c>
      <c r="B2" s="23">
        <f>LN(EXP(1)-1+A2^0.8)</f>
        <v/>
      </c>
      <c r="C2" s="11" t="inlineStr">
        <is>
          <t>Mathematical value; eligibility and domestic rules govern use</t>
        </is>
      </c>
    </row>
    <row r="3">
      <c r="A3" s="32" t="n">
        <v>0.25</v>
      </c>
      <c r="B3" s="23">
        <f>LN(EXP(1)-1+A3^0.8)</f>
        <v/>
      </c>
    </row>
    <row r="4">
      <c r="A4" s="32" t="n">
        <v>0.5</v>
      </c>
      <c r="B4" s="23">
        <f>LN(EXP(1)-1+A4^0.8)</f>
        <v/>
      </c>
    </row>
    <row r="5">
      <c r="A5" s="32" t="n">
        <v>0.75</v>
      </c>
      <c r="B5" s="23">
        <f>LN(EXP(1)-1+A5^0.8)</f>
        <v/>
      </c>
    </row>
    <row r="6">
      <c r="A6" s="32" t="n">
        <v>1</v>
      </c>
      <c r="B6" s="23">
        <f>LN(EXP(1)-1+A6^0.8)</f>
        <v/>
      </c>
      <c r="C6" s="11" t="inlineStr">
        <is>
          <t>LC = BIC → ILM = 1</t>
        </is>
      </c>
    </row>
    <row r="7">
      <c r="A7" s="32" t="n">
        <v>1.25</v>
      </c>
      <c r="B7" s="23">
        <f>LN(EXP(1)-1+A7^0.8)</f>
        <v/>
      </c>
    </row>
    <row r="8">
      <c r="A8" s="32" t="n">
        <v>1.4423</v>
      </c>
      <c r="B8" s="23">
        <f>LN(EXP(1)-1+A8^0.8)</f>
        <v/>
      </c>
      <c r="C8" s="11" t="inlineStr">
        <is>
          <t>₹12,000 crore BI case → ILM 1.1180</t>
        </is>
      </c>
    </row>
    <row r="9">
      <c r="A9" s="32" t="n">
        <v>1.5</v>
      </c>
      <c r="B9" s="23">
        <f>LN(EXP(1)-1+A9^0.8)</f>
        <v/>
      </c>
    </row>
    <row r="10">
      <c r="A10" s="32" t="n">
        <v>2</v>
      </c>
      <c r="B10" s="23">
        <f>LN(EXP(1)-1+A10^0.8)</f>
        <v/>
      </c>
    </row>
    <row r="11">
      <c r="A11" s="32" t="n">
        <v>2.5</v>
      </c>
      <c r="B11" s="23">
        <f>LN(EXP(1)-1+A11^0.8)</f>
        <v/>
      </c>
    </row>
    <row r="12">
      <c r="A12" s="32" t="n">
        <v>3</v>
      </c>
      <c r="B12" s="23">
        <f>LN(EXP(1)-1+A12^0.8)</f>
        <v/>
      </c>
    </row>
    <row r="13">
      <c r="A13" s="32" t="n">
        <v>3.5</v>
      </c>
      <c r="B13" s="23">
        <f>LN(EXP(1)-1+A13^0.8)</f>
        <v/>
      </c>
    </row>
    <row r="14">
      <c r="A14" s="32" t="n">
        <v>4</v>
      </c>
      <c r="B14" s="23">
        <f>LN(EXP(1)-1+A14^0.8)</f>
        <v/>
      </c>
    </row>
    <row r="17" ht="38" customHeight="1">
      <c r="A17" s="19" t="inlineStr">
        <is>
          <t>Applies only under eligible loss-sensitive treatment in buckets 2–3. Bucket 1 and a prescribed BIC-only regime use ILM = 1.</t>
        </is>
      </c>
    </row>
  </sheetData>
  <mergeCells count="1">
    <mergeCell ref="A17:C17"/>
  </mergeCells>
  <pageMargins left="0.75" right="0.75" top="1" bottom="1" header="0.5" footer="0.5"/>
  <pageSetup orientation="landscape" fitToHeight="0"/>
  <headerFooter>
    <oddHeader>&amp;CBasel Capital Adequacy for Operational Risk — Section 24</oddHeader>
    <oddFooter>&amp;LThe Mountain Path Academy · https://themountainpathacademy.com&amp;RProf. V. Ravichandran · Page &amp;P of &amp;N</oddFooter>
    <evenHeader/>
    <evenFooter/>
    <firstHeader/>
    <firstFooter/>
  </headerFooter>
  <drawing xmlns:r="http://schemas.openxmlformats.org/officeDocument/2006/relationships" r:id="rId1"/>
</worksheet>
</file>

<file path=xl/worksheets/sheet8.xml><?xml version="1.0" encoding="utf-8"?>
<worksheet xmlns="http://schemas.openxmlformats.org/spreadsheetml/2006/main">
  <sheetPr>
    <tabColor rgb="FF1E7F82"/>
    <outlinePr summaryBelow="1" summaryRight="1"/>
    <pageSetUpPr fitToPage="1"/>
  </sheetPr>
  <dimension ref="A1:C15"/>
  <sheetViews>
    <sheetView showGridLines="0" workbookViewId="0">
      <pane ySplit="1" topLeftCell="A2" activePane="bottomLeft" state="frozen"/>
      <selection pane="bottomLeft" activeCell="A1" sqref="A1"/>
    </sheetView>
  </sheetViews>
  <sheetFormatPr baseColWidth="8" defaultRowHeight="15"/>
  <cols>
    <col width="46" customWidth="1" min="1" max="1"/>
    <col width="18" customWidth="1" min="2" max="2"/>
    <col width="70" customWidth="1" min="3" max="3"/>
  </cols>
  <sheetData>
    <row r="1" ht="24" customHeight="1">
      <c r="A1" s="8" t="inlineStr">
        <is>
          <t>Item</t>
        </is>
      </c>
      <c r="B1" s="8" t="inlineStr">
        <is>
          <t>Value</t>
        </is>
      </c>
      <c r="C1" s="8" t="inlineStr">
        <is>
          <t>Formula / note</t>
        </is>
      </c>
    </row>
    <row r="2">
      <c r="A2" s="9" t="inlineStr">
        <is>
          <t>BIC (held fixed)</t>
        </is>
      </c>
      <c r="B2" s="14">
        <f>SA!B7</f>
        <v/>
      </c>
    </row>
    <row r="3">
      <c r="A3" s="9" t="inlineStr">
        <is>
          <t>Base ten-year loss total</t>
        </is>
      </c>
      <c r="B3" s="10" t="n">
        <v>1500</v>
      </c>
    </row>
    <row r="4">
      <c r="A4" s="9" t="inlineStr">
        <is>
          <t>Additional eligible loss event</t>
        </is>
      </c>
      <c r="B4" s="10" t="n">
        <v>500</v>
      </c>
    </row>
    <row r="5">
      <c r="A5" s="9" t="inlineStr">
        <is>
          <t>Years in window</t>
        </is>
      </c>
      <c r="B5" s="33" t="n">
        <v>10</v>
      </c>
    </row>
    <row r="6">
      <c r="A6" s="9" t="inlineStr">
        <is>
          <t>Base LC = 15 × total ÷ years</t>
        </is>
      </c>
      <c r="B6" s="14">
        <f>15*B3/B5</f>
        <v/>
      </c>
    </row>
    <row r="7">
      <c r="A7" s="9" t="inlineStr">
        <is>
          <t>New LC</t>
        </is>
      </c>
      <c r="B7" s="14">
        <f>15*(B3+B4)/B5</f>
        <v/>
      </c>
    </row>
    <row r="8">
      <c r="A8" s="9" t="inlineStr">
        <is>
          <t>Base ILM</t>
        </is>
      </c>
      <c r="B8" s="23">
        <f>LN(EXP(1)-1+(B6/B2)^0.8)</f>
        <v/>
      </c>
    </row>
    <row r="9">
      <c r="A9" s="9" t="inlineStr">
        <is>
          <t>New ILM</t>
        </is>
      </c>
      <c r="B9" s="23">
        <f>LN(EXP(1)-1+(B7/B2)^0.8)</f>
        <v/>
      </c>
    </row>
    <row r="10">
      <c r="A10" s="9" t="inlineStr">
        <is>
          <t>Base ORC</t>
        </is>
      </c>
      <c r="B10" s="14">
        <f>B2*B8</f>
        <v/>
      </c>
    </row>
    <row r="11">
      <c r="A11" s="9" t="inlineStr">
        <is>
          <t>New ORC</t>
        </is>
      </c>
      <c r="B11" s="14">
        <f>B2*B9</f>
        <v/>
      </c>
    </row>
    <row r="12">
      <c r="A12" s="13" t="inlineStr">
        <is>
          <t>Increase in ORC</t>
        </is>
      </c>
      <c r="B12" s="15">
        <f>B11-B10</f>
        <v/>
      </c>
      <c r="C12" s="11" t="inlineStr">
        <is>
          <t>A ₹500 crore loss is not a ₹500 crore capital charge — the effect is nonlinear</t>
        </is>
      </c>
    </row>
    <row r="13">
      <c r="A13" s="13" t="inlineStr">
        <is>
          <t>Increase in operational RWA</t>
        </is>
      </c>
      <c r="B13" s="15">
        <f>12.5*B12</f>
        <v/>
      </c>
    </row>
    <row r="15" ht="38" customHeight="1">
      <c r="A15" s="19" t="inlineStr">
        <is>
          <t>Expected (article Section 21): new LC 3,000 · new ILM 1.2254 · new ORC 1,911.66 · increase 167.58 · RWA increase 2,094.80. Holds the window fixed; rolling out an older year changes the result.</t>
        </is>
      </c>
    </row>
  </sheetData>
  <mergeCells count="1">
    <mergeCell ref="A15:C15"/>
  </mergeCells>
  <pageMargins left="0.75" right="0.75" top="1" bottom="1" header="0.5" footer="0.5"/>
  <pageSetup orientation="landscape" fitToHeight="0"/>
  <headerFooter>
    <oddHeader>&amp;CBasel Capital Adequacy for Operational Risk — Section 24</oddHeader>
    <oddFooter>&amp;LThe Mountain Path Academy · https://themountainpathacademy.com&amp;RProf. V. Ravichandran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2026-11-02T08:28:32Z</dcterms:created>
  <dcterms:modified xmlns:dcterms="http://purl.org/dc/terms/" xmlns:xsi="http://www.w3.org/2001/XMLSchema-instance" xsi:type="dcterms:W3CDTF">2026-11-02T08:28:33Z</dcterms:modified>
</cp:coreProperties>
</file>