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s" sheetId="1" state="visible" r:id="rId1"/>
    <sheet xmlns:r="http://schemas.openxmlformats.org/officeDocument/2006/relationships" name="Sensitivities" sheetId="2" state="visible" r:id="rId2"/>
    <sheet xmlns:r="http://schemas.openxmlformats.org/officeDocument/2006/relationships" name="Normal" sheetId="3" state="visible" r:id="rId3"/>
    <sheet xmlns:r="http://schemas.openxmlformats.org/officeDocument/2006/relationships" name="VaR_vs_ES" sheetId="4" state="visible" r:id="rId4"/>
    <sheet xmlns:r="http://schemas.openxmlformats.org/officeDocument/2006/relationships" name="Diversification" sheetId="5" state="visible" r:id="rId5"/>
    <sheet xmlns:r="http://schemas.openxmlformats.org/officeDocument/2006/relationships" name="Tail_Case2" sheetId="6" state="visible" r:id="rId6"/>
    <sheet xmlns:r="http://schemas.openxmlformats.org/officeDocument/2006/relationships" name="Legacy_SA" sheetId="7" state="visible" r:id="rId7"/>
    <sheet xmlns:r="http://schemas.openxmlformats.org/officeDocument/2006/relationships" name="VaR_Capital" sheetId="8" state="visible" r:id="rId8"/>
    <sheet xmlns:r="http://schemas.openxmlformats.org/officeDocument/2006/relationships" name="Basel3_Stack" sheetId="9" state="visible" r:id="rId9"/>
    <sheet xmlns:r="http://schemas.openxmlformats.org/officeDocument/2006/relationships" name="SSA" sheetId="10" state="visible" r:id="rId10"/>
    <sheet xmlns:r="http://schemas.openxmlformats.org/officeDocument/2006/relationships" name="IR_SSA_3Bonds" sheetId="11" state="visible" r:id="rId11"/>
    <sheet xmlns:r="http://schemas.openxmlformats.org/officeDocument/2006/relationships" name="SBM_Case3" sheetId="12" state="visible" r:id="rId12"/>
    <sheet xmlns:r="http://schemas.openxmlformats.org/officeDocument/2006/relationships" name="DRC_RRAO" sheetId="13" state="visible" r:id="rId13"/>
    <sheet xmlns:r="http://schemas.openxmlformats.org/officeDocument/2006/relationships" name="Stressed_ES" sheetId="14" state="visible" r:id="rId14"/>
    <sheet xmlns:r="http://schemas.openxmlformats.org/officeDocument/2006/relationships" name="LH" sheetId="15" state="visible" r:id="rId15"/>
    <sheet xmlns:r="http://schemas.openxmlformats.org/officeDocument/2006/relationships" name="RFET" sheetId="16" state="visible" r:id="rId16"/>
    <sheet xmlns:r="http://schemas.openxmlformats.org/officeDocument/2006/relationships" name="Backtest_PLA" sheetId="17" state="visible" r:id="rId17"/>
    <sheet xmlns:r="http://schemas.openxmlformats.org/officeDocument/2006/relationships" name="IMA_Bridge" sheetId="18" state="visible" r:id="rId18"/>
    <sheet xmlns:r="http://schemas.openxmlformats.org/officeDocument/2006/relationships" name="Capital" sheetId="19" state="visible" r:id="rId19"/>
    <sheet xmlns:r="http://schemas.openxmlformats.org/officeDocument/2006/relationships" name="Output_Floor" sheetId="20" state="visible" r:id="rId20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0.0000"/>
    <numFmt numFmtId="165" formatCode="0.000000"/>
    <numFmt numFmtId="166" formatCode="0.0%"/>
    <numFmt numFmtId="167" formatCode="0.0"/>
    <numFmt numFmtId="168" formatCode="0.00000"/>
    <numFmt numFmtId="169" formatCode="0.000"/>
    <numFmt numFmtId="170" formatCode="0.00&quot;x&quot;"/>
  </numFmts>
  <fonts count="11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b val="1"/>
      <color rgb="FF004D80"/>
      <sz val="11"/>
      <u val="single"/>
    </font>
    <font>
      <name val="Arial"/>
      <i val="1"/>
      <color rgb="FF5A6475"/>
      <sz val="9"/>
    </font>
    <font>
      <name val="Arial"/>
      <color rgb="FF003366"/>
      <sz val="11"/>
    </font>
    <font>
      <name val="Arial"/>
      <color rgb="FF0000FF"/>
      <sz val="11"/>
    </font>
    <font>
      <name val="Arial"/>
      <b val="1"/>
      <color rgb="FF003366"/>
      <sz val="11"/>
    </font>
    <font>
      <name val="Arial"/>
      <i val="1"/>
      <color rgb="FF5A6475"/>
      <sz val="11"/>
    </font>
    <font>
      <name val="Arial"/>
      <color rgb="FF5A6475"/>
      <sz val="11"/>
    </font>
    <font>
      <name val="Arial"/>
      <b val="1"/>
      <color rgb="FFFFFFFF"/>
      <sz val="16"/>
    </font>
    <font>
      <name val="Arial"/>
      <color rgb="FF004D80"/>
      <sz val="11"/>
      <u val="single"/>
    </font>
  </fonts>
  <fills count="8">
    <fill>
      <patternFill/>
    </fill>
    <fill>
      <patternFill patternType="gray125"/>
    </fill>
    <fill>
      <patternFill patternType="solid">
        <fgColor rgb="FF003366"/>
      </patternFill>
    </fill>
    <fill>
      <patternFill patternType="solid">
        <fgColor rgb="FFEAF3F8"/>
      </patternFill>
    </fill>
    <fill>
      <patternFill patternType="solid">
        <fgColor rgb="FFFFF2CC"/>
      </patternFill>
    </fill>
    <fill>
      <patternFill patternType="solid">
        <fgColor rgb="FF004D80"/>
      </patternFill>
    </fill>
    <fill>
      <patternFill patternType="solid">
        <fgColor rgb="FFFFD700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9AA7B8"/>
      </left>
      <right style="thin">
        <color rgb="FF9AA7B8"/>
      </right>
      <top style="thin">
        <color rgb="FF9AA7B8"/>
      </top>
      <bottom style="thin">
        <color rgb="FF9AA7B8"/>
      </bottom>
    </border>
    <border>
      <left style="medium">
        <color rgb="FFC9A24D"/>
      </left>
      <right style="medium">
        <color rgb="FFC9A24D"/>
      </right>
      <top style="medium">
        <color rgb="FFC9A24D"/>
      </top>
      <bottom style="medium">
        <color rgb="FFC9A24D"/>
      </bottom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9" fillId="2" borderId="0" applyAlignment="1" pivotButton="0" quotePrefix="0" xfId="0">
      <alignment vertical="center" wrapText="1"/>
    </xf>
    <xf numFmtId="0" fontId="0" fillId="2" borderId="0" pivotButton="0" quotePrefix="0" xfId="0"/>
    <xf numFmtId="0" fontId="6" fillId="6" borderId="0" applyAlignment="1" pivotButton="0" quotePrefix="0" xfId="0">
      <alignment vertical="center" wrapText="1"/>
    </xf>
    <xf numFmtId="0" fontId="0" fillId="6" borderId="0" pivotButton="0" quotePrefix="0" xfId="0"/>
    <xf numFmtId="0" fontId="10" fillId="0" borderId="0" pivotButton="0" quotePrefix="0" xfId="0"/>
    <xf numFmtId="0" fontId="4" fillId="3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4" fillId="7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vertical="center" wrapText="1"/>
    </xf>
    <xf numFmtId="0" fontId="4" fillId="7" borderId="1" applyAlignment="1" pivotButton="0" quotePrefix="0" xfId="0">
      <alignment vertical="center" wrapText="1"/>
    </xf>
    <xf numFmtId="0" fontId="7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1" applyAlignment="1" pivotButton="0" quotePrefix="0" xfId="0">
      <alignment vertical="center" wrapText="1"/>
    </xf>
    <xf numFmtId="4" fontId="5" fillId="3" borderId="1" applyAlignment="1" pivotButton="0" quotePrefix="0" xfId="0">
      <alignment horizontal="right" vertical="center" wrapText="1"/>
    </xf>
    <xf numFmtId="0" fontId="3" fillId="0" borderId="0" applyAlignment="1" pivotButton="0" quotePrefix="0" xfId="0">
      <alignment vertical="top" wrapText="1"/>
    </xf>
    <xf numFmtId="2" fontId="5" fillId="3" borderId="1" applyAlignment="1" pivotButton="0" quotePrefix="0" xfId="0">
      <alignment horizontal="right" vertical="center" wrapText="1"/>
    </xf>
    <xf numFmtId="1" fontId="5" fillId="3" borderId="1" applyAlignment="1" pivotButton="0" quotePrefix="0" xfId="0">
      <alignment horizontal="right" vertical="center" wrapText="1"/>
    </xf>
    <xf numFmtId="164" fontId="6" fillId="4" borderId="2" applyAlignment="1" pivotButton="0" quotePrefix="0" xfId="0">
      <alignment horizontal="right" vertical="center" wrapText="1"/>
    </xf>
    <xf numFmtId="0" fontId="7" fillId="0" borderId="0" applyAlignment="1" pivotButton="0" quotePrefix="0" xfId="0">
      <alignment vertical="center" wrapText="1"/>
    </xf>
    <xf numFmtId="2" fontId="6" fillId="4" borderId="2" applyAlignment="1" pivotButton="0" quotePrefix="0" xfId="0">
      <alignment horizontal="right" vertical="center" wrapText="1"/>
    </xf>
    <xf numFmtId="0" fontId="1" fillId="5" borderId="0" applyAlignment="1" pivotButton="0" quotePrefix="0" xfId="0">
      <alignment vertical="center" wrapText="1"/>
    </xf>
    <xf numFmtId="164" fontId="5" fillId="3" borderId="1" applyAlignment="1" pivotButton="0" quotePrefix="0" xfId="0">
      <alignment horizontal="right" vertical="center" wrapText="1"/>
    </xf>
    <xf numFmtId="4" fontId="4" fillId="0" borderId="1" applyAlignment="1" pivotButton="0" quotePrefix="0" xfId="0">
      <alignment horizontal="right" vertical="center" wrapText="1"/>
    </xf>
    <xf numFmtId="10" fontId="5" fillId="3" borderId="1" applyAlignment="1" pivotButton="0" quotePrefix="0" xfId="0">
      <alignment horizontal="right" vertical="center" wrapText="1"/>
    </xf>
    <xf numFmtId="164" fontId="4" fillId="0" borderId="1" applyAlignment="1" pivotButton="0" quotePrefix="0" xfId="0">
      <alignment horizontal="right" vertical="center" wrapText="1"/>
    </xf>
    <xf numFmtId="165" fontId="4" fillId="0" borderId="1" applyAlignment="1" pivotButton="0" quotePrefix="0" xfId="0">
      <alignment horizontal="right" vertical="center" wrapText="1"/>
    </xf>
    <xf numFmtId="10" fontId="4" fillId="0" borderId="1" applyAlignment="1" pivotButton="0" quotePrefix="0" xfId="0">
      <alignment horizontal="right" vertical="center" wrapText="1"/>
    </xf>
    <xf numFmtId="0" fontId="6" fillId="0" borderId="1" applyAlignment="1" pivotButton="0" quotePrefix="0" xfId="0">
      <alignment vertical="center" wrapText="1"/>
    </xf>
    <xf numFmtId="166" fontId="5" fillId="3" borderId="1" applyAlignment="1" pivotButton="0" quotePrefix="0" xfId="0">
      <alignment horizontal="right" vertical="center" wrapText="1"/>
    </xf>
    <xf numFmtId="0" fontId="8" fillId="0" borderId="0" pivotButton="0" quotePrefix="0" xfId="0"/>
    <xf numFmtId="9" fontId="5" fillId="3" borderId="1" applyAlignment="1" pivotButton="0" quotePrefix="0" xfId="0">
      <alignment horizontal="right" vertical="center" wrapText="1"/>
    </xf>
    <xf numFmtId="9" fontId="4" fillId="0" borderId="1" applyAlignment="1" pivotButton="0" quotePrefix="0" xfId="0">
      <alignment horizontal="right" vertical="center" wrapText="1"/>
    </xf>
    <xf numFmtId="1" fontId="4" fillId="0" borderId="1" applyAlignment="1" pivotButton="0" quotePrefix="0" xfId="0">
      <alignment horizontal="right" vertical="center" wrapText="1"/>
    </xf>
    <xf numFmtId="4" fontId="6" fillId="4" borderId="2" applyAlignment="1" pivotButton="0" quotePrefix="0" xfId="0">
      <alignment horizontal="right" vertical="center" wrapText="1"/>
    </xf>
    <xf numFmtId="2" fontId="4" fillId="0" borderId="1" applyAlignment="1" pivotButton="0" quotePrefix="0" xfId="0">
      <alignment horizontal="right" vertical="center" wrapText="1"/>
    </xf>
    <xf numFmtId="167" fontId="5" fillId="3" borderId="1" applyAlignment="1" pivotButton="0" quotePrefix="0" xfId="0">
      <alignment horizontal="right" vertical="center" wrapText="1"/>
    </xf>
    <xf numFmtId="0" fontId="7" fillId="0" borderId="1" applyAlignment="1" pivotButton="0" quotePrefix="0" xfId="0">
      <alignment horizontal="center" vertical="center" wrapText="1"/>
    </xf>
    <xf numFmtId="168" fontId="6" fillId="4" borderId="2" applyAlignment="1" pivotButton="0" quotePrefix="0" xfId="0">
      <alignment horizontal="right" vertical="center" wrapText="1"/>
    </xf>
    <xf numFmtId="169" fontId="4" fillId="0" borderId="1" applyAlignment="1" pivotButton="0" quotePrefix="0" xfId="0">
      <alignment horizontal="right" vertical="center" wrapText="1"/>
    </xf>
    <xf numFmtId="0" fontId="4" fillId="0" borderId="1" pivotButton="0" quotePrefix="0" xfId="0"/>
    <xf numFmtId="0" fontId="5" fillId="3" borderId="1" applyAlignment="1" pivotButton="0" quotePrefix="0" xfId="0">
      <alignment horizontal="right" vertical="center" wrapText="1"/>
    </xf>
    <xf numFmtId="166" fontId="4" fillId="0" borderId="1" applyAlignment="1" pivotButton="0" quotePrefix="0" xfId="0">
      <alignment horizontal="right" vertical="center" wrapText="1"/>
    </xf>
    <xf numFmtId="170" fontId="4" fillId="0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right" vertical="center" wrapText="1"/>
    </xf>
    <xf numFmtId="0" fontId="6" fillId="4" borderId="2" applyAlignment="1" pivotButton="0" quotePrefix="0" xfId="0">
      <alignment horizontal="right" vertical="center" wrapText="1"/>
    </xf>
    <xf numFmtId="169" fontId="5" fillId="3" borderId="1" applyAlignment="1" pivotButton="0" quotePrefix="0" xfId="0">
      <alignment horizontal="right" vertical="center" wrapText="1"/>
    </xf>
    <xf numFmtId="10" fontId="6" fillId="4" borderId="2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Scenario SBM totals (₹ crore)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03366"/>
            </a:solidFill>
            <a:ln xmlns:a="http://schemas.openxmlformats.org/drawingml/2006/main">
              <a:prstDash val="solid"/>
            </a:ln>
          </spPr>
          <cat>
            <numRef>
              <f>'SBM_Case3'!$B$1:$D$1</f>
            </numRef>
          </cat>
          <val>
            <numRef>
              <f>'SBM_Case3'!$B$9:$D$9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5.55"/>
          <min val="5.3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hemountainpathacademy.com/basel-capital-adequacy-market-risk" TargetMode="Externa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FF003366"/>
    <outlinePr summaryBelow="1" summaryRight="1"/>
    <pageSetUpPr fitToPage="1"/>
  </sheetPr>
  <dimension ref="A1:E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24" customWidth="1" min="3" max="3"/>
    <col width="44" customWidth="1" min="4" max="4"/>
    <col width="70" customWidth="1" min="5" max="5"/>
  </cols>
  <sheetData>
    <row r="1" ht="30" customHeight="1">
      <c r="A1" s="1" t="inlineStr">
        <is>
          <t>Basel Capital Adequacy for Market Risk — Excel Companion</t>
        </is>
      </c>
      <c r="B1" s="2" t="n"/>
      <c r="C1" s="2" t="n"/>
      <c r="D1" s="2" t="n"/>
      <c r="E1" s="2" t="n"/>
    </row>
    <row r="2" ht="20" customHeight="1">
      <c r="A2" s="3" t="inlineStr">
        <is>
          <t>The Mountain Path Academy  |  Prof. V. Ravichandran  |  https://themountainpathacademy.com</t>
        </is>
      </c>
      <c r="B2" s="4" t="n"/>
      <c r="C2" s="4" t="n"/>
      <c r="D2" s="4" t="n"/>
      <c r="E2" s="4" t="n"/>
    </row>
    <row r="3">
      <c r="A3" s="5" t="inlineStr">
        <is>
          <t>Companion to: https://themountainpathacademy.com/basel-capital-adequacy-market-risk</t>
        </is>
      </c>
    </row>
    <row r="4" ht="46" customHeight="1">
      <c r="A4" s="6" t="inlineStr">
        <is>
          <t>Click a tab name to jump; every tab has '← Contents' to return. Blue on light blue = input · white bordered = formula · yellow with gold border = result. Normal, LH and Capital use the exact cell addresses of the article's Section 30 table. ₹ crore; illustrative teaching data; regulatory reference date 2 November 2026.</t>
        </is>
      </c>
    </row>
    <row r="5"/>
    <row r="6">
      <c r="A6" s="7" t="inlineStr">
        <is>
          <t>#</t>
        </is>
      </c>
      <c r="B6" s="7" t="inlineStr">
        <is>
          <t>Tab</t>
        </is>
      </c>
      <c r="C6" s="7" t="inlineStr">
        <is>
          <t>Article section</t>
        </is>
      </c>
      <c r="D6" s="7" t="inlineStr">
        <is>
          <t>Topic</t>
        </is>
      </c>
      <c r="E6" s="7" t="inlineStr">
        <is>
          <t>What you can do</t>
        </is>
      </c>
    </row>
    <row r="7" ht="32" customHeight="1">
      <c r="A7" s="8" t="n">
        <v>1</v>
      </c>
      <c r="B7" s="9" t="inlineStr">
        <is>
          <t>Sensitivities</t>
        </is>
      </c>
      <c r="C7" s="10" t="inlineStr">
        <is>
          <t>Section 5</t>
        </is>
      </c>
      <c r="D7" s="10" t="inlineStr">
        <is>
          <t>Duration, DV01 and delta–gamma</t>
        </is>
      </c>
      <c r="E7" s="10" t="inlineStr">
        <is>
          <t>DV01, duration loss for a 50 bp rise, delta–gamma–vega P&amp;L approximation</t>
        </is>
      </c>
    </row>
    <row r="8" ht="32" customHeight="1">
      <c r="A8" s="11" t="n">
        <v>2</v>
      </c>
      <c r="B8" s="12" t="inlineStr">
        <is>
          <t>Normal</t>
        </is>
      </c>
      <c r="C8" s="13" t="inlineStr">
        <is>
          <t>Sections 8–9 · Lab 1</t>
        </is>
      </c>
      <c r="D8" s="13" t="inlineStr">
        <is>
          <t>Normal VaR and ES</t>
        </is>
      </c>
      <c r="E8" s="13" t="inlineStr">
        <is>
          <t>EXACT Section 30 cells: Normal!B2:B9 — VaR and ES under a normal, zero-mean loss model</t>
        </is>
      </c>
    </row>
    <row r="9" ht="32" customHeight="1">
      <c r="A9" s="8" t="n">
        <v>3</v>
      </c>
      <c r="B9" s="9" t="inlineStr">
        <is>
          <t>VaR_vs_ES</t>
        </is>
      </c>
      <c r="C9" s="10" t="inlineStr">
        <is>
          <t>Section 9</t>
        </is>
      </c>
      <c r="D9" s="10" t="inlineStr">
        <is>
          <t>VaR versus ES at 97.5% and 99%</t>
        </is>
      </c>
      <c r="E9" s="10" t="inlineStr">
        <is>
          <t>Same one-day normal model at two confidence levels — why FRTB moved to 97.5% ES</t>
        </is>
      </c>
    </row>
    <row r="10" ht="32" customHeight="1">
      <c r="A10" s="11" t="n">
        <v>4</v>
      </c>
      <c r="B10" s="12" t="inlineStr">
        <is>
          <t>Diversification</t>
        </is>
      </c>
      <c r="C10" s="13" t="inlineStr">
        <is>
          <t>Section 8</t>
        </is>
      </c>
      <c r="D10" s="13" t="inlineStr">
        <is>
          <t>Two-position portfolio VaR</t>
        </is>
      </c>
      <c r="E10" s="13" t="inlineStr">
        <is>
          <t>σp from two currency-loss σs and correlation; diversification benefit</t>
        </is>
      </c>
    </row>
    <row r="11" ht="32" customHeight="1">
      <c r="A11" s="8" t="n">
        <v>5</v>
      </c>
      <c r="B11" s="9" t="inlineStr">
        <is>
          <t>Tail_Case2</t>
        </is>
      </c>
      <c r="C11" s="10" t="inlineStr">
        <is>
          <t>Section 10 · Case 2</t>
        </is>
      </c>
      <c r="D11" s="10" t="inlineStr">
        <is>
          <t>Same VaR, different tail</t>
        </is>
      </c>
      <c r="E11" s="10" t="inlineStr">
        <is>
          <t>100 equally likely losses; nearest-rank 95% VaR and 5% ES for portfolios A and B</t>
        </is>
      </c>
    </row>
    <row r="12" ht="32" customHeight="1">
      <c r="A12" s="11" t="n">
        <v>6</v>
      </c>
      <c r="B12" s="12" t="inlineStr">
        <is>
          <t>Legacy_SA</t>
        </is>
      </c>
      <c r="C12" s="13" t="inlineStr">
        <is>
          <t>Section 11</t>
        </is>
      </c>
      <c r="D12" s="13" t="inlineStr">
        <is>
          <t>Basel II standardised method — equity + FX</t>
        </is>
      </c>
      <c r="E12" s="13" t="inlineStr">
        <is>
          <t>8% specific on gross, 8% general on net equity, 8% on FX net open position</t>
        </is>
      </c>
    </row>
    <row r="13" ht="32" customHeight="1">
      <c r="A13" s="8" t="n">
        <v>7</v>
      </c>
      <c r="B13" s="9" t="inlineStr">
        <is>
          <t>VaR_Capital</t>
        </is>
      </c>
      <c r="C13" s="10" t="inlineStr">
        <is>
          <t>Sections 12–13</t>
        </is>
      </c>
      <c r="D13" s="10" t="inlineStr">
        <is>
          <t>Legacy VaR capital and Basel 2.5</t>
        </is>
      </c>
      <c r="E13" s="10" t="inlineStr">
        <is>
          <t>max(latest, m × 60-day average) for VaR and stressed VaR, plus IRC</t>
        </is>
      </c>
    </row>
    <row r="14" ht="32" customHeight="1">
      <c r="A14" s="11" t="n">
        <v>8</v>
      </c>
      <c r="B14" s="12" t="inlineStr">
        <is>
          <t>Basel3_Stack</t>
        </is>
      </c>
      <c r="C14" s="13" t="inlineStr">
        <is>
          <t>Section 14</t>
        </is>
      </c>
      <c r="D14" s="13" t="inlineStr">
        <is>
          <t>Basel III capital stack</t>
        </is>
      </c>
      <c r="E14" s="13" t="inlineStr">
        <is>
          <t>Required CET1 / Tier 1 / total capital on total RWA, Basel minima + full CCB</t>
        </is>
      </c>
    </row>
    <row r="15" ht="32" customHeight="1">
      <c r="A15" s="8" t="n">
        <v>9</v>
      </c>
      <c r="B15" s="9" t="inlineStr">
        <is>
          <t>SSA</t>
        </is>
      </c>
      <c r="C15" s="10" t="inlineStr">
        <is>
          <t>Sections 16 &amp; 27</t>
        </is>
      </c>
      <c r="D15" s="10" t="inlineStr">
        <is>
          <t>Simplified standardised approach — Basel and RBI</t>
        </is>
      </c>
      <c r="E15" s="10" t="inlineStr">
        <is>
          <t>Global four-class SSA scalars vs RBI three-class formula</t>
        </is>
      </c>
    </row>
    <row r="16" ht="32" customHeight="1">
      <c r="A16" s="11" t="n">
        <v>10</v>
      </c>
      <c r="B16" s="12" t="inlineStr">
        <is>
          <t>IR_SSA_3Bonds</t>
        </is>
      </c>
      <c r="C16" s="13" t="inlineStr">
        <is>
          <t>Section 27</t>
        </is>
      </c>
      <c r="D16" s="13" t="inlineStr">
        <is>
          <t>Interest-rate SSA — three bonds to RBI market RWA</t>
        </is>
      </c>
      <c r="E16" s="13" t="inlineStr">
        <is>
          <t>Specific risk + duration-method general risk (0.80% shock, 5% vertical disallowance) → CR_IR × 1.3 → RWA</t>
        </is>
      </c>
    </row>
    <row r="17" ht="32" customHeight="1">
      <c r="A17" s="8" t="n">
        <v>11</v>
      </c>
      <c r="B17" s="9" t="inlineStr">
        <is>
          <t>SBM_Case3</t>
        </is>
      </c>
      <c r="C17" s="10" t="inlineStr">
        <is>
          <t>Section 18 · Case 3</t>
        </is>
      </c>
      <c r="D17" s="10" t="inlineStr">
        <is>
          <t>Sensitivities-based method — three correlation scenarios</t>
        </is>
      </c>
      <c r="E17" s="10" t="inlineStr">
        <is>
          <t>Within-bucket Kb for a long–short hedge; SBM = max of scenario totals; KSA = SBM + DRC + RRAO</t>
        </is>
      </c>
    </row>
    <row r="18" ht="32" customHeight="1">
      <c r="A18" s="11" t="n">
        <v>12</v>
      </c>
      <c r="B18" s="12" t="inlineStr">
        <is>
          <t>DRC_RRAO</t>
        </is>
      </c>
      <c r="C18" s="13" t="inlineStr">
        <is>
          <t>Section 19</t>
        </is>
      </c>
      <c r="D18" s="13" t="inlineStr">
        <is>
          <t>Default risk charge and residual risk add-on</t>
        </is>
      </c>
      <c r="E18" s="13" t="inlineStr">
        <is>
          <t>Gross JTD × rating weight; RRAO 1% exotic / 0.1% other</t>
        </is>
      </c>
    </row>
    <row r="19" ht="32" customHeight="1">
      <c r="A19" s="8" t="n">
        <v>13</v>
      </c>
      <c r="B19" s="9" t="inlineStr">
        <is>
          <t>Stressed_ES</t>
        </is>
      </c>
      <c r="C19" s="10" t="inlineStr">
        <is>
          <t>Section 20</t>
        </is>
      </c>
      <c r="D19" s="10" t="inlineStr">
        <is>
          <t>Stress-calibrated ES</t>
        </is>
      </c>
      <c r="E19" s="10" t="inlineStr">
        <is>
          <t>ES_stress = ES_R,S × max(ES_F,C / ES_R,C, 1); 75% reduced-set test</t>
        </is>
      </c>
    </row>
    <row r="20" ht="32" customHeight="1">
      <c r="A20" s="11" t="n">
        <v>14</v>
      </c>
      <c r="B20" s="12" t="inlineStr">
        <is>
          <t>LH</t>
        </is>
      </c>
      <c r="C20" s="13" t="inlineStr">
        <is>
          <t>Section 21 · Lab 2</t>
        </is>
      </c>
      <c r="D20" s="13" t="inlineStr">
        <is>
          <t>Liquidity-horizon-adjusted ES</t>
        </is>
      </c>
      <c r="E20" s="13" t="inlineStr">
        <is>
          <t>EXACT Section 30 cells: LH!B2:B6, C2:C6, B8</t>
        </is>
      </c>
    </row>
    <row r="21" ht="32" customHeight="1">
      <c r="A21" s="8" t="n">
        <v>15</v>
      </c>
      <c r="B21" s="9" t="inlineStr">
        <is>
          <t>RFET</t>
        </is>
      </c>
      <c r="C21" s="10" t="inlineStr">
        <is>
          <t>Section 22</t>
        </is>
      </c>
      <c r="D21" s="10" t="inlineStr">
        <is>
          <t>Risk-factor eligibility test</t>
        </is>
      </c>
      <c r="E21" s="10" t="inlineStr">
        <is>
          <t>24 observations with ≥4 in every 90-day period, OR ≥100 observations in 12 months</t>
        </is>
      </c>
    </row>
    <row r="22" ht="32" customHeight="1">
      <c r="A22" s="11" t="n">
        <v>16</v>
      </c>
      <c r="B22" s="12" t="inlineStr">
        <is>
          <t>Backtest_PLA</t>
        </is>
      </c>
      <c r="C22" s="13" t="inlineStr">
        <is>
          <t>Section 23</t>
        </is>
      </c>
      <c r="D22" s="13" t="inlineStr">
        <is>
          <t>Desk backtesting and P&amp;L attribution</t>
        </is>
      </c>
      <c r="E22" s="13" t="inlineStr">
        <is>
          <t>Exception limits 12 (99%) / 30 (97.5%); PLA zones from Spearman and KS</t>
        </is>
      </c>
    </row>
    <row r="23" ht="32" customHeight="1">
      <c r="A23" s="8" t="n">
        <v>17</v>
      </c>
      <c r="B23" s="9" t="inlineStr">
        <is>
          <t>IMA_Bridge</t>
        </is>
      </c>
      <c r="C23" s="10" t="inlineStr">
        <is>
          <t>Section 24 · Case 5</t>
        </is>
      </c>
      <c r="D23" s="10" t="inlineStr">
        <is>
          <t>From ES to total IMA capital</t>
        </is>
      </c>
      <c r="E23" s="10" t="inlineStr">
        <is>
          <t>IMCC diversification constraint, C_A with mc = 1.5, DRC and SA desks</t>
        </is>
      </c>
    </row>
    <row r="24" ht="32" customHeight="1">
      <c r="A24" s="11" t="n">
        <v>18</v>
      </c>
      <c r="B24" s="12" t="inlineStr">
        <is>
          <t>Capital</t>
        </is>
      </c>
      <c r="C24" s="13" t="inlineStr">
        <is>
          <t>Section 25 · Lab 3</t>
        </is>
      </c>
      <c r="D24" s="13" t="inlineStr">
        <is>
          <t>Market RWA and the three capital ratios</t>
        </is>
      </c>
      <c r="E24" s="13" t="inlineStr">
        <is>
          <t>EXACT Section 30 cells: Capital!B2:B19</t>
        </is>
      </c>
    </row>
    <row r="25" ht="32" customHeight="1">
      <c r="A25" s="8" t="n">
        <v>19</v>
      </c>
      <c r="B25" s="9" t="inlineStr">
        <is>
          <t>Output_Floor</t>
        </is>
      </c>
      <c r="C25" s="10" t="inlineStr">
        <is>
          <t>Section 26</t>
        </is>
      </c>
      <c r="D25" s="10" t="inlineStr">
        <is>
          <t>Buffers and the output floor</t>
        </is>
      </c>
      <c r="E25" s="10" t="inlineStr">
        <is>
          <t>Aggregate floored RWA = max(model RWA, 72.5% × standardised RWA)</t>
        </is>
      </c>
    </row>
    <row r="26"/>
    <row r="27" ht="34" customHeight="1">
      <c r="A27" s="14" t="inlineStr">
        <is>
          <t>Corrections built in: 12.5 = 1 ÷ 8% (not 1 ÷ 9%); RBI SSA has three classes (no commodity); SBM = max of scenario TOTALS; ES on a discrete sample needs fractional weighting of the threshold loss when (1−α)·N is not a whole number (Tail_Case2 does this).</t>
        </is>
      </c>
    </row>
  </sheetData>
  <mergeCells count="5">
    <mergeCell ref="A4:E4"/>
    <mergeCell ref="A2:E2"/>
    <mergeCell ref="A1:E1"/>
    <mergeCell ref="A27:E27"/>
    <mergeCell ref="A3:E3"/>
  </mergeCells>
  <hyperlinks>
    <hyperlink xmlns:r="http://schemas.openxmlformats.org/officeDocument/2006/relationships" ref="A3" r:id="rId1"/>
    <hyperlink ref="B7" location="'Sensitivities'!A1" display="Sensitivities"/>
    <hyperlink ref="B8" location="'Normal'!A1" display="Normal"/>
    <hyperlink ref="B9" location="'VaR_vs_ES'!A1" display="VaR_vs_ES"/>
    <hyperlink ref="B10" location="'Diversification'!A1" display="Diversification"/>
    <hyperlink ref="B11" location="'Tail_Case2'!A1" display="Tail_Case2"/>
    <hyperlink ref="B12" location="'Legacy_SA'!A1" display="Legacy_SA"/>
    <hyperlink ref="B13" location="'VaR_Capital'!A1" display="VaR_Capital"/>
    <hyperlink ref="B14" location="'Basel3_Stack'!A1" display="Basel3_Stack"/>
    <hyperlink ref="B15" location="'SSA'!A1" display="SSA"/>
    <hyperlink ref="B16" location="'IR_SSA_3Bonds'!A1" display="IR_SSA_3Bonds"/>
    <hyperlink ref="B17" location="'SBM_Case3'!A1" display="SBM_Case3"/>
    <hyperlink ref="B18" location="'DRC_RRAO'!A1" display="DRC_RRAO"/>
    <hyperlink ref="B19" location="'Stressed_ES'!A1" display="Stressed_ES"/>
    <hyperlink ref="B20" location="'LH'!A1" display="LH"/>
    <hyperlink ref="B21" location="'RFET'!A1" display="RFET"/>
    <hyperlink ref="B22" location="'Backtest_PLA'!A1" display="Backtest_PLA"/>
    <hyperlink ref="B23" location="'IMA_Bridge'!A1" display="IMA_Bridge"/>
    <hyperlink ref="B24" location="'Capital'!A1" display="Capital"/>
    <hyperlink ref="B25" location="'Output_Floor'!A1" display="Output_Floor"/>
  </hyperlinks>
  <pageMargins left="0.75" right="0.75" top="1" bottom="1" header="0.5" footer="0.5"/>
  <pageSetup orientation="landscape" fitToHeight="0"/>
  <headerFooter>
    <oddHeader/>
    <oddFooter>&amp;LThe Mountain Path Academy · https://themountainpathacademy.com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FF004D80"/>
    <outlinePr summaryBelow="1" summaryRight="1"/>
    <pageSetUpPr fitToPage="1"/>
  </sheetPr>
  <dimension ref="A1:E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66" customWidth="1" min="3" max="3"/>
    <col width="3" customWidth="1" min="4" max="4"/>
    <col width="14" customWidth="1" min="5" max="5"/>
  </cols>
  <sheetData>
    <row r="1" ht="24" customHeight="1">
      <c r="A1" s="7" t="inlineStr">
        <is>
          <t>Item</t>
        </is>
      </c>
      <c r="B1" s="7" t="inlineStr">
        <is>
          <t>Value</t>
        </is>
      </c>
      <c r="C1" s="7" t="inlineStr">
        <is>
          <t>Formula / note</t>
        </is>
      </c>
      <c r="E1" s="15" t="inlineStr">
        <is>
          <t>← Contents</t>
        </is>
      </c>
    </row>
    <row r="2">
      <c r="A2" s="16" t="inlineStr">
        <is>
          <t>Bond market value</t>
        </is>
      </c>
      <c r="B2" s="17" t="n">
        <v>100</v>
      </c>
      <c r="E2" s="18" t="inlineStr">
        <is>
          <t>Section 5
Duration, DV01 and delta–gamma</t>
        </is>
      </c>
    </row>
    <row r="3">
      <c r="A3" s="16" t="inlineStr">
        <is>
          <t>Modified duration</t>
        </is>
      </c>
      <c r="B3" s="19" t="n">
        <v>4</v>
      </c>
    </row>
    <row r="4">
      <c r="A4" s="16" t="inlineStr">
        <is>
          <t>Yield change (bp)</t>
        </is>
      </c>
      <c r="B4" s="20" t="n">
        <v>50</v>
      </c>
    </row>
    <row r="5">
      <c r="A5" s="16" t="inlineStr">
        <is>
          <t>DV01 = value × duration × 0.0001</t>
        </is>
      </c>
      <c r="B5" s="21">
        <f>B2*B3*0.0001</f>
        <v/>
      </c>
      <c r="C5" s="22" t="inlineStr">
        <is>
          <t>=B2*B3*0.0001   → ₹0.04 crore per bp</t>
        </is>
      </c>
    </row>
    <row r="6">
      <c r="A6" s="16" t="inlineStr">
        <is>
          <t>Duration loss ΔV ≈ −D × V × Δy</t>
        </is>
      </c>
      <c r="B6" s="23">
        <f>-B3*B2*B4/10000</f>
        <v/>
      </c>
      <c r="C6" s="22" t="inlineStr">
        <is>
          <t>Ignores convexity and spread moves → −₹2.00 crore</t>
        </is>
      </c>
    </row>
    <row r="7"/>
    <row r="8" ht="20" customHeight="1">
      <c r="A8" s="24" t="inlineStr">
        <is>
          <t>Delta–gamma–vega approximation  ΔV ≈ Δ·ΔS + ½Γ·(ΔS)² + Vega·Δσ</t>
        </is>
      </c>
    </row>
    <row r="9">
      <c r="A9" s="16" t="inlineStr">
        <is>
          <t>Delta (₹ crore per unit of underlying)</t>
        </is>
      </c>
      <c r="B9" s="25" t="n">
        <v>0.6</v>
      </c>
    </row>
    <row r="10">
      <c r="A10" s="16" t="inlineStr">
        <is>
          <t>Gamma</t>
        </is>
      </c>
      <c r="B10" s="25" t="n">
        <v>0.02</v>
      </c>
    </row>
    <row r="11">
      <c r="A11" s="16" t="inlineStr">
        <is>
          <t>Vega (₹ crore per 1 vol point)</t>
        </is>
      </c>
      <c r="B11" s="25" t="n">
        <v>0.15</v>
      </c>
    </row>
    <row r="12">
      <c r="A12" s="16" t="inlineStr">
        <is>
          <t>Change in underlying ΔS</t>
        </is>
      </c>
      <c r="B12" s="19" t="n">
        <v>-10</v>
      </c>
    </row>
    <row r="13">
      <c r="A13" s="16" t="inlineStr">
        <is>
          <t>Change in implied vol (points)</t>
        </is>
      </c>
      <c r="B13" s="19" t="n">
        <v>2</v>
      </c>
    </row>
    <row r="14">
      <c r="A14" s="16" t="inlineStr">
        <is>
          <t>Delta term</t>
        </is>
      </c>
      <c r="B14" s="26">
        <f>B9*B12</f>
        <v/>
      </c>
    </row>
    <row r="15">
      <c r="A15" s="16" t="inlineStr">
        <is>
          <t>Gamma term</t>
        </is>
      </c>
      <c r="B15" s="26">
        <f>0.5*B10*B12^2</f>
        <v/>
      </c>
    </row>
    <row r="16">
      <c r="A16" s="16" t="inlineStr">
        <is>
          <t>Vega term</t>
        </is>
      </c>
      <c r="B16" s="26">
        <f>B11*B13</f>
        <v/>
      </c>
    </row>
    <row r="17">
      <c r="A17" s="16" t="inlineStr">
        <is>
          <t>Approximate ΔV</t>
        </is>
      </c>
      <c r="B17" s="23">
        <f>SUM(B14:B16)</f>
        <v/>
      </c>
      <c r="C17" s="22" t="inlineStr">
        <is>
          <t>Illustrative option inputs (not on the page) — keep vega units consistent</t>
        </is>
      </c>
    </row>
  </sheetData>
  <mergeCells count="1">
    <mergeCell ref="A8:C8"/>
  </mergeCells>
  <hyperlinks>
    <hyperlink ref="E1" location="'Contents'!A1" display="← Contents"/>
  </hyperlinks>
  <pageMargins left="0.75" right="0.75" top="1" bottom="1" header="0.5" footer="0.5"/>
  <pageSetup orientation="landscape" fitToHeight="0"/>
  <headerFooter>
    <oddHeader>&amp;CBasel Capital Adequacy for Market Risk — Section 5 · Duration, DV01 and delta–gamma</oddHeader>
    <oddFooter>&amp;LThe Mountain Path Academy · https://themountainpathacademy.com&amp;RProf. V. Ravichandran ·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FF004D80"/>
    <outlinePr summaryBelow="1" summaryRight="1"/>
    <pageSetUpPr fitToPage="1"/>
  </sheetPr>
  <dimension ref="A1:E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66" customWidth="1" min="3" max="3"/>
    <col width="3" customWidth="1" min="4" max="4"/>
    <col width="14" customWidth="1" min="5" max="5"/>
  </cols>
  <sheetData>
    <row r="1" ht="24" customHeight="1">
      <c r="A1" s="7" t="inlineStr">
        <is>
          <t>Item</t>
        </is>
      </c>
      <c r="B1" s="7" t="inlineStr">
        <is>
          <t>Value</t>
        </is>
      </c>
      <c r="C1" s="7" t="inlineStr">
        <is>
          <t>Formula / note</t>
        </is>
      </c>
      <c r="E1" s="15" t="inlineStr">
        <is>
          <t>← Contents</t>
        </is>
      </c>
    </row>
    <row r="2">
      <c r="A2" s="16" t="inlineStr">
        <is>
          <t>Portfolio value (₹ crore)</t>
        </is>
      </c>
      <c r="B2" s="17" t="n">
        <v>100</v>
      </c>
      <c r="E2" s="18" t="inlineStr">
        <is>
          <t>Sections 8–9 · Lab 1
Normal VaR and ES</t>
        </is>
      </c>
    </row>
    <row r="3">
      <c r="A3" s="16" t="inlineStr">
        <is>
          <t>Daily return volatility</t>
        </is>
      </c>
      <c r="B3" s="27" t="n">
        <v>0.015</v>
      </c>
    </row>
    <row r="4">
      <c r="A4" s="16" t="inlineStr">
        <is>
          <t>Confidence level α</t>
        </is>
      </c>
      <c r="B4" s="27" t="n">
        <v>0.99</v>
      </c>
    </row>
    <row r="5">
      <c r="A5" s="16" t="inlineStr">
        <is>
          <t>Horizon (trading days)</t>
        </is>
      </c>
      <c r="B5" s="20" t="n">
        <v>1</v>
      </c>
    </row>
    <row r="6"/>
    <row r="7">
      <c r="A7" s="16" t="inlineStr">
        <is>
          <t>Horizon loss standard deviation σL</t>
        </is>
      </c>
      <c r="B7" s="28">
        <f>B2*B3*SQRT(B5)</f>
        <v/>
      </c>
      <c r="C7" s="22" t="inlineStr">
        <is>
          <t>=B2*B3*SQRT(B5) — zero mean; √time valid only under iid normal changes</t>
        </is>
      </c>
    </row>
    <row r="8">
      <c r="A8" s="16" t="inlineStr">
        <is>
          <t>Normal VaR</t>
        </is>
      </c>
      <c r="B8" s="21">
        <f>_xlfn.NORM.S.INV(B4)*B7</f>
        <v/>
      </c>
      <c r="C8" s="22" t="inlineStr">
        <is>
          <t>=NORM.S.INV(B4)*B7</t>
        </is>
      </c>
    </row>
    <row r="9">
      <c r="A9" s="16" t="inlineStr">
        <is>
          <t>Normal ES / CVaR</t>
        </is>
      </c>
      <c r="B9" s="21">
        <f>B7*_xlfn.NORM.S.DIST(_xlfn.NORM.S.INV(B4),FALSE)/(1-B4)</f>
        <v/>
      </c>
      <c r="C9" s="22" t="inlineStr">
        <is>
          <t>=B7*NORM.S.DIST(NORM.S.INV(B4),FALSE)/(1-B4)</t>
        </is>
      </c>
    </row>
    <row r="10"/>
    <row r="11" ht="20" customHeight="1">
      <c r="A11" s="24" t="inlineStr">
        <is>
          <t>Checks</t>
        </is>
      </c>
    </row>
    <row r="12">
      <c r="A12" s="16" t="inlineStr">
        <is>
          <t>z at α</t>
        </is>
      </c>
      <c r="B12" s="29">
        <f>_xlfn.NORM.S.INV(B4)</f>
        <v/>
      </c>
      <c r="C12" s="22" t="inlineStr">
        <is>
          <t>2.326348 at 99%</t>
        </is>
      </c>
    </row>
    <row r="13">
      <c r="A13" s="16" t="inlineStr">
        <is>
          <t>Ten-day VaR by √10 (teaching shortcut)</t>
        </is>
      </c>
      <c r="B13" s="28">
        <f>B8/SQRT(B5)*SQRT(10)</f>
        <v/>
      </c>
      <c r="C13" s="22" t="inlineStr">
        <is>
          <t>₹11.0348 crore at 99% — FRTB ES uses ten-day changes, not one-day ES × √10</t>
        </is>
      </c>
    </row>
    <row r="14">
      <c r="A14" s="16" t="inlineStr">
        <is>
          <t>Tail probability beyond VaR</t>
        </is>
      </c>
      <c r="B14" s="30">
        <f>1-B4</f>
        <v/>
      </c>
    </row>
    <row r="15">
      <c r="A15" s="16" t="inlineStr">
        <is>
          <t>ES ÷ VaR</t>
        </is>
      </c>
      <c r="B15" s="28">
        <f>B9/B8</f>
        <v/>
      </c>
    </row>
    <row r="16"/>
    <row r="17" ht="38" customHeight="1">
      <c r="A17" s="6" t="inlineStr">
        <is>
          <t>Expected (page): σL 1.50 · 99% VaR 3.4895 · 99% ES 3.9978. Set B4 = 97.5% for the comparison case: VaR 2.9399 · ES 3.5067.</t>
        </is>
      </c>
    </row>
  </sheetData>
  <mergeCells count="2">
    <mergeCell ref="A17:C17"/>
    <mergeCell ref="A11:C11"/>
  </mergeCells>
  <hyperlinks>
    <hyperlink ref="E1" location="'Contents'!A1" display="← Contents"/>
  </hyperlinks>
  <pageMargins left="0.75" right="0.75" top="1" bottom="1" header="0.5" footer="0.5"/>
  <pageSetup orientation="landscape" fitToHeight="0"/>
  <headerFooter>
    <oddHeader>&amp;CBasel Capital Adequacy for Market Risk — Sections 8–9 · Lab 1 · Normal VaR and ES</oddHeader>
    <oddFooter>&amp;LThe Mountain Path Academy · https://themountainpathacademy.com&amp;RProf. V. Ravichandran ·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FF004D80"/>
    <outlinePr summaryBelow="1" summaryRight="1"/>
    <pageSetUpPr fitToPage="1"/>
  </sheetPr>
  <dimension ref="A1:F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60" customWidth="1" min="4" max="4"/>
    <col width="3" customWidth="1" min="5" max="5"/>
    <col width="14" customWidth="1" min="6" max="6"/>
  </cols>
  <sheetData>
    <row r="1" ht="24" customHeight="1">
      <c r="A1" s="7" t="inlineStr">
        <is>
          <t>Measure</t>
        </is>
      </c>
      <c r="B1" s="7" t="inlineStr">
        <is>
          <t>Confidence</t>
        </is>
      </c>
      <c r="C1" s="7" t="inlineStr">
        <is>
          <t>₹ crore</t>
        </is>
      </c>
      <c r="D1" s="7" t="inlineStr">
        <is>
          <t>Formula / note</t>
        </is>
      </c>
      <c r="F1" s="15" t="inlineStr">
        <is>
          <t>← Contents</t>
        </is>
      </c>
    </row>
    <row r="2">
      <c r="A2" s="16" t="inlineStr">
        <is>
          <t>Loss σ (₹ crore)</t>
        </is>
      </c>
      <c r="C2" s="17" t="n">
        <v>1.5</v>
      </c>
      <c r="F2" s="18" t="inlineStr">
        <is>
          <t>Section 9
VaR versus ES at 97.5% and 99%</t>
        </is>
      </c>
    </row>
    <row r="3"/>
    <row r="4">
      <c r="A4" s="31" t="inlineStr">
        <is>
          <t>VaR</t>
        </is>
      </c>
      <c r="B4" s="32" t="n">
        <v>0.975</v>
      </c>
      <c r="C4" s="21">
        <f>_xlfn.NORM.S.INV(B4)*$C$2</f>
        <v/>
      </c>
      <c r="D4" s="22" t="inlineStr">
        <is>
          <t>=NORM.S.INV(α)*σ</t>
        </is>
      </c>
    </row>
    <row r="5">
      <c r="A5" s="31" t="inlineStr">
        <is>
          <t>ES / CVaR</t>
        </is>
      </c>
      <c r="B5" s="32" t="n">
        <v>0.975</v>
      </c>
      <c r="C5" s="21">
        <f>$C$2*_xlfn.NORM.S.DIST(_xlfn.NORM.S.INV(B5),FALSE)/(1-B5)</f>
        <v/>
      </c>
      <c r="D5" s="22" t="inlineStr">
        <is>
          <t>=σ*NORM.S.DIST(NORM.S.INV(α),FALSE)/(1-α)</t>
        </is>
      </c>
    </row>
    <row r="6">
      <c r="A6" s="31" t="inlineStr">
        <is>
          <t>VaR</t>
        </is>
      </c>
      <c r="B6" s="32" t="n">
        <v>0.99</v>
      </c>
      <c r="C6" s="21">
        <f>_xlfn.NORM.S.INV(B6)*$C$2</f>
        <v/>
      </c>
      <c r="D6" s="22" t="inlineStr">
        <is>
          <t>=NORM.S.INV(α)*σ</t>
        </is>
      </c>
    </row>
    <row r="7">
      <c r="A7" s="31" t="inlineStr">
        <is>
          <t>ES / CVaR</t>
        </is>
      </c>
      <c r="B7" s="32" t="n">
        <v>0.99</v>
      </c>
      <c r="C7" s="21">
        <f>$C$2*_xlfn.NORM.S.DIST(_xlfn.NORM.S.INV(B7),FALSE)/(1-B7)</f>
        <v/>
      </c>
      <c r="D7" s="22" t="inlineStr">
        <is>
          <t>=σ*NORM.S.DIST(NORM.S.INV(α),FALSE)/(1-α)</t>
        </is>
      </c>
    </row>
    <row r="8"/>
    <row r="9">
      <c r="A9" s="16" t="inlineStr">
        <is>
          <t>97.5% ES − 99% VaR</t>
        </is>
      </c>
      <c r="C9" s="28">
        <f>C5-C6</f>
        <v/>
      </c>
      <c r="D9" s="22" t="inlineStr">
        <is>
          <t>Close under normality (≈0.017) — the FRTB calibration logic; not interchangeable under fat tails</t>
        </is>
      </c>
    </row>
    <row r="10"/>
    <row r="11" ht="23" customHeight="1">
      <c r="A11" s="6" t="inlineStr">
        <is>
          <t>Expected (page): 2.9399 · 3.5067 · 3.4895 · 3.9978. At the same confidence and horizon, ES ≥ VaR.  CVaR ≠ CVA.</t>
        </is>
      </c>
    </row>
  </sheetData>
  <mergeCells count="1">
    <mergeCell ref="A11:D11"/>
  </mergeCells>
  <hyperlinks>
    <hyperlink ref="F1" location="'Contents'!A1" display="← Contents"/>
  </hyperlinks>
  <pageMargins left="0.75" right="0.75" top="1" bottom="1" header="0.5" footer="0.5"/>
  <pageSetup orientation="landscape" fitToHeight="0"/>
  <headerFooter>
    <oddHeader>&amp;CBasel Capital Adequacy for Market Risk — Section 9 · VaR versus ES at 97.5% and 99%</oddHeader>
    <oddFooter>&amp;LThe Mountain Path Academy · https://themountainpathacademy.com&amp;RProf. V. Ravichandran ·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FF004D80"/>
    <outlinePr summaryBelow="1" summaryRight="1"/>
    <pageSetUpPr fitToPage="1"/>
  </sheetPr>
  <dimension ref="A1:E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66" customWidth="1" min="3" max="3"/>
    <col width="3" customWidth="1" min="4" max="4"/>
    <col width="14" customWidth="1" min="5" max="5"/>
  </cols>
  <sheetData>
    <row r="1" ht="24" customHeight="1">
      <c r="A1" s="7" t="inlineStr">
        <is>
          <t>Item</t>
        </is>
      </c>
      <c r="B1" s="7" t="inlineStr">
        <is>
          <t>Value</t>
        </is>
      </c>
      <c r="C1" s="7" t="inlineStr">
        <is>
          <t>Formula / note</t>
        </is>
      </c>
      <c r="E1" s="15" t="inlineStr">
        <is>
          <t>← Contents</t>
        </is>
      </c>
    </row>
    <row r="2">
      <c r="A2" s="16" t="inlineStr">
        <is>
          <t>σ1 — position 1 loss std dev (₹ crore)</t>
        </is>
      </c>
      <c r="B2" s="17" t="n">
        <v>1</v>
      </c>
      <c r="E2" s="18" t="inlineStr">
        <is>
          <t>Section 8
Two-position portfolio VaR</t>
        </is>
      </c>
    </row>
    <row r="3">
      <c r="A3" s="16" t="inlineStr">
        <is>
          <t>σ2 — position 2 loss std dev (₹ crore)</t>
        </is>
      </c>
      <c r="B3" s="17" t="n">
        <v>0.8</v>
      </c>
    </row>
    <row r="4">
      <c r="A4" s="16" t="inlineStr">
        <is>
          <t>Correlation ρ</t>
        </is>
      </c>
      <c r="B4" s="19" t="n">
        <v>0.25</v>
      </c>
    </row>
    <row r="5">
      <c r="A5" s="16" t="inlineStr">
        <is>
          <t>Confidence α</t>
        </is>
      </c>
      <c r="B5" s="27" t="n">
        <v>0.99</v>
      </c>
    </row>
    <row r="6">
      <c r="A6" s="16" t="inlineStr">
        <is>
          <t>Portfolio σp = √(σ1² + σ2² + 2ρσ1σ2)</t>
        </is>
      </c>
      <c r="B6" s="28">
        <f>SQRT(B2^2+B3^2+2*B4*B2*B3)</f>
        <v/>
      </c>
    </row>
    <row r="7">
      <c r="A7" s="16" t="inlineStr">
        <is>
          <t>Portfolio VaR</t>
        </is>
      </c>
      <c r="B7" s="21">
        <f>_xlfn.NORM.S.INV(B5)*B6</f>
        <v/>
      </c>
    </row>
    <row r="8">
      <c r="A8" s="16" t="inlineStr">
        <is>
          <t>Sum of standalone VaRs</t>
        </is>
      </c>
      <c r="B8" s="28">
        <f>_xlfn.NORM.S.INV(B5)*(B2+B3)</f>
        <v/>
      </c>
    </row>
    <row r="9">
      <c r="A9" s="16" t="inlineStr">
        <is>
          <t>Diversification benefit</t>
        </is>
      </c>
      <c r="B9" s="21">
        <f>B8-B7</f>
        <v/>
      </c>
      <c r="C9" s="22" t="inlineStr">
        <is>
          <t>Shrinks as ρ → 1 (try ρ = 0.9 to mimic stress)</t>
        </is>
      </c>
    </row>
    <row r="10"/>
    <row r="11" ht="23" customHeight="1">
      <c r="A11" s="6" t="inlineStr">
        <is>
          <t>Expected (page): σp 1.4283 · portfolio VaR 3.3227 · sum of standalone VaRs 4.1874.</t>
        </is>
      </c>
    </row>
  </sheetData>
  <mergeCells count="1">
    <mergeCell ref="A11:C11"/>
  </mergeCells>
  <hyperlinks>
    <hyperlink ref="E1" location="'Contents'!A1" display="← Contents"/>
  </hyperlinks>
  <pageMargins left="0.75" right="0.75" top="1" bottom="1" header="0.5" footer="0.5"/>
  <pageSetup orientation="landscape" fitToHeight="0"/>
  <headerFooter>
    <oddHeader>&amp;CBasel Capital Adequacy for Market Risk — Section 8 · Two-position portfolio VaR</oddHeader>
    <oddFooter>&amp;LThe Mountain Path Academy · https://themountainpathacademy.com&amp;RProf. V. Ravichandran ·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FF004D80"/>
    <outlinePr summaryBelow="1" summaryRight="1"/>
    <pageSetUpPr fitToPage="1"/>
  </sheetPr>
  <dimension ref="A1:H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62" customWidth="1" min="4" max="4"/>
    <col width="3" customWidth="1" min="5" max="5"/>
    <col width="40" customWidth="1" min="6" max="6"/>
    <col width="14" customWidth="1" min="7" max="7"/>
    <col width="14" customWidth="1" min="8" max="8"/>
  </cols>
  <sheetData>
    <row r="1" ht="24" customHeight="1">
      <c r="A1" s="7" t="inlineStr">
        <is>
          <t>Scenario</t>
        </is>
      </c>
      <c r="B1" s="7" t="inlineStr">
        <is>
          <t>Loss A</t>
        </is>
      </c>
      <c r="C1" s="7" t="inlineStr">
        <is>
          <t>Loss B</t>
        </is>
      </c>
      <c r="D1" s="7" t="inlineStr">
        <is>
          <t>Note</t>
        </is>
      </c>
      <c r="F1" s="15" t="inlineStr">
        <is>
          <t>← Contents</t>
        </is>
      </c>
    </row>
    <row r="2" ht="30" customHeight="1">
      <c r="A2" s="33" t="n">
        <v>1</v>
      </c>
      <c r="B2" s="17" t="n">
        <v>0.01</v>
      </c>
      <c r="C2" s="17" t="n">
        <v>0.01</v>
      </c>
      <c r="D2" s="22" t="inlineStr">
        <is>
          <t>Losses 1–94 are at or below ₹1 crore (illustrative 0.01–0.94); loss 95 = ₹2 crore; worst five: A = 3,4,5,6,7; B = 3,4,5,6,32</t>
        </is>
      </c>
      <c r="F2" s="7" t="inlineStr">
        <is>
          <t>Measure</t>
        </is>
      </c>
      <c r="G2" s="7" t="inlineStr">
        <is>
          <t>Portfolio A</t>
        </is>
      </c>
      <c r="H2" s="7" t="inlineStr">
        <is>
          <t>Portfolio B</t>
        </is>
      </c>
    </row>
    <row r="3" ht="30" customHeight="1">
      <c r="A3" s="33" t="n">
        <v>2</v>
      </c>
      <c r="B3" s="17" t="n">
        <v>0.02</v>
      </c>
      <c r="C3" s="17" t="n">
        <v>0.02</v>
      </c>
      <c r="F3" s="16" t="inlineStr">
        <is>
          <t>Confidence α</t>
        </is>
      </c>
      <c r="G3" s="34" t="n">
        <v>0.95</v>
      </c>
      <c r="H3" s="35">
        <f>G3</f>
        <v/>
      </c>
    </row>
    <row r="4" ht="30" customHeight="1">
      <c r="A4" s="33" t="n">
        <v>3</v>
      </c>
      <c r="B4" s="17" t="n">
        <v>0.03</v>
      </c>
      <c r="C4" s="17" t="n">
        <v>0.03</v>
      </c>
      <c r="F4" s="16" t="inlineStr">
        <is>
          <t>N scenarios</t>
        </is>
      </c>
      <c r="G4" s="36">
        <f>COUNT(B2:B101)</f>
        <v/>
      </c>
      <c r="H4" s="36">
        <f>COUNT(C2:C101)</f>
        <v/>
      </c>
    </row>
    <row r="5" ht="30" customHeight="1">
      <c r="A5" s="33" t="n">
        <v>4</v>
      </c>
      <c r="B5" s="17" t="n">
        <v>0.04</v>
      </c>
      <c r="C5" s="17" t="n">
        <v>0.04</v>
      </c>
      <c r="F5" s="31" t="inlineStr">
        <is>
          <t>Nearest-rank 95% VaR =SMALL(losses,ROUNDUP(α·N,0))</t>
        </is>
      </c>
      <c r="G5" s="37">
        <f>SMALL(B2:B101,ROUNDUP(G3*G4,0))</f>
        <v/>
      </c>
      <c r="H5" s="37">
        <f>SMALL(C2:C101,ROUNDUP(H3*H4,0))</f>
        <v/>
      </c>
    </row>
    <row r="6" ht="30" customHeight="1">
      <c r="A6" s="33" t="n">
        <v>5</v>
      </c>
      <c r="B6" s="17" t="n">
        <v>0.05</v>
      </c>
      <c r="C6" s="17" t="n">
        <v>0.05</v>
      </c>
      <c r="F6" s="16" t="inlineStr">
        <is>
          <t>Tail count (1 − α)·N</t>
        </is>
      </c>
      <c r="G6" s="38">
        <f>ROUND((1-G3)*G4,10)</f>
        <v/>
      </c>
      <c r="H6" s="38">
        <f>ROUND((1-H3)*H4,10)</f>
        <v/>
      </c>
    </row>
    <row r="7" ht="30" customHeight="1">
      <c r="A7" s="33" t="n">
        <v>6</v>
      </c>
      <c r="B7" s="17" t="n">
        <v>0.06</v>
      </c>
      <c r="C7" s="17" t="n">
        <v>0.06</v>
      </c>
      <c r="F7" s="31" t="inlineStr">
        <is>
          <t>ES with fractional weighting of the threshold loss</t>
        </is>
      </c>
      <c r="G7" s="37">
        <f>IF(G6=0,NA(),(SUMPRODUCT((B2:B101&gt;LARGE(B2:B101,ROUNDUP(G6,0)))*B2:B101)+(G6-COUNTIF(B2:B101,"&gt;"&amp;LARGE(B2:B101,ROUNDUP(G6,0))))*LARGE(B2:B101,ROUNDUP(G6,0)))/G6)</f>
        <v/>
      </c>
      <c r="H7" s="37">
        <f>IF(H6=0,NA(),(SUMPRODUCT((C2:C101&gt;LARGE(C2:C101,ROUNDUP(H6,0)))*C2:C101)+(H6-COUNTIF(C2:C101,"&gt;"&amp;LARGE(C2:C101,ROUNDUP(H6,0))))*LARGE(C2:C101,ROUNDUP(H6,0)))/H6)</f>
        <v/>
      </c>
    </row>
    <row r="8" ht="30" customHeight="1">
      <c r="A8" s="33" t="n">
        <v>7</v>
      </c>
      <c r="B8" s="17" t="n">
        <v>0.07000000000000001</v>
      </c>
      <c r="C8" s="17" t="n">
        <v>0.07000000000000001</v>
      </c>
      <c r="F8" s="16" t="inlineStr">
        <is>
          <t>PERCENTILE.INC (different interpolation)</t>
        </is>
      </c>
      <c r="G8" s="26">
        <f>_xlfn.PERCENTILE.INC(B2:B101,G3)</f>
        <v/>
      </c>
      <c r="H8" s="26">
        <f>_xlfn.PERCENTILE.INC(C2:C101,H3)</f>
        <v/>
      </c>
    </row>
    <row r="9">
      <c r="A9" s="33" t="n">
        <v>8</v>
      </c>
      <c r="B9" s="17" t="n">
        <v>0.08</v>
      </c>
      <c r="C9" s="17" t="n">
        <v>0.08</v>
      </c>
    </row>
    <row r="10" ht="22" customHeight="1">
      <c r="A10" s="33" t="n">
        <v>9</v>
      </c>
      <c r="B10" s="17" t="n">
        <v>0.09</v>
      </c>
      <c r="C10" s="17" t="n">
        <v>0.09</v>
      </c>
      <c r="F10" s="6" t="inlineStr">
        <is>
          <t>Expected (page): VaR 2.00 for both; ES A = 5.00, B = 10.00. The ES formula handles non-integer tail counts by weighting the threshold loss (try α = 97.5%: B → 16.20). PERCENTILE.INC interpolates between order statistics and gives a different 'VaR'.</t>
        </is>
      </c>
    </row>
    <row r="11" ht="22" customHeight="1">
      <c r="A11" s="33" t="n">
        <v>10</v>
      </c>
      <c r="B11" s="17" t="n">
        <v>0.1</v>
      </c>
      <c r="C11" s="17" t="n">
        <v>0.1</v>
      </c>
    </row>
    <row r="12" ht="22" customHeight="1">
      <c r="A12" s="33" t="n">
        <v>11</v>
      </c>
      <c r="B12" s="17" t="n">
        <v>0.11</v>
      </c>
      <c r="C12" s="17" t="n">
        <v>0.11</v>
      </c>
    </row>
    <row r="13">
      <c r="A13" s="33" t="n">
        <v>12</v>
      </c>
      <c r="B13" s="17" t="n">
        <v>0.12</v>
      </c>
      <c r="C13" s="17" t="n">
        <v>0.12</v>
      </c>
    </row>
    <row r="14">
      <c r="A14" s="33" t="n">
        <v>13</v>
      </c>
      <c r="B14" s="17" t="n">
        <v>0.13</v>
      </c>
      <c r="C14" s="17" t="n">
        <v>0.13</v>
      </c>
    </row>
    <row r="15">
      <c r="A15" s="33" t="n">
        <v>14</v>
      </c>
      <c r="B15" s="17" t="n">
        <v>0.14</v>
      </c>
      <c r="C15" s="17" t="n">
        <v>0.14</v>
      </c>
    </row>
    <row r="16">
      <c r="A16" s="33" t="n">
        <v>15</v>
      </c>
      <c r="B16" s="17" t="n">
        <v>0.15</v>
      </c>
      <c r="C16" s="17" t="n">
        <v>0.15</v>
      </c>
    </row>
    <row r="17">
      <c r="A17" s="33" t="n">
        <v>16</v>
      </c>
      <c r="B17" s="17" t="n">
        <v>0.16</v>
      </c>
      <c r="C17" s="17" t="n">
        <v>0.16</v>
      </c>
    </row>
    <row r="18">
      <c r="A18" s="33" t="n">
        <v>17</v>
      </c>
      <c r="B18" s="17" t="n">
        <v>0.17</v>
      </c>
      <c r="C18" s="17" t="n">
        <v>0.17</v>
      </c>
    </row>
    <row r="19">
      <c r="A19" s="33" t="n">
        <v>18</v>
      </c>
      <c r="B19" s="17" t="n">
        <v>0.18</v>
      </c>
      <c r="C19" s="17" t="n">
        <v>0.18</v>
      </c>
    </row>
    <row r="20">
      <c r="A20" s="33" t="n">
        <v>19</v>
      </c>
      <c r="B20" s="17" t="n">
        <v>0.19</v>
      </c>
      <c r="C20" s="17" t="n">
        <v>0.19</v>
      </c>
    </row>
    <row r="21">
      <c r="A21" s="33" t="n">
        <v>20</v>
      </c>
      <c r="B21" s="17" t="n">
        <v>0.2</v>
      </c>
      <c r="C21" s="17" t="n">
        <v>0.2</v>
      </c>
    </row>
    <row r="22">
      <c r="A22" s="33" t="n">
        <v>21</v>
      </c>
      <c r="B22" s="17" t="n">
        <v>0.21</v>
      </c>
      <c r="C22" s="17" t="n">
        <v>0.21</v>
      </c>
    </row>
    <row r="23">
      <c r="A23" s="33" t="n">
        <v>22</v>
      </c>
      <c r="B23" s="17" t="n">
        <v>0.22</v>
      </c>
      <c r="C23" s="17" t="n">
        <v>0.22</v>
      </c>
    </row>
    <row r="24">
      <c r="A24" s="33" t="n">
        <v>23</v>
      </c>
      <c r="B24" s="17" t="n">
        <v>0.23</v>
      </c>
      <c r="C24" s="17" t="n">
        <v>0.23</v>
      </c>
    </row>
    <row r="25">
      <c r="A25" s="33" t="n">
        <v>24</v>
      </c>
      <c r="B25" s="17" t="n">
        <v>0.24</v>
      </c>
      <c r="C25" s="17" t="n">
        <v>0.24</v>
      </c>
    </row>
    <row r="26">
      <c r="A26" s="33" t="n">
        <v>25</v>
      </c>
      <c r="B26" s="17" t="n">
        <v>0.25</v>
      </c>
      <c r="C26" s="17" t="n">
        <v>0.25</v>
      </c>
    </row>
    <row r="27">
      <c r="A27" s="33" t="n">
        <v>26</v>
      </c>
      <c r="B27" s="17" t="n">
        <v>0.26</v>
      </c>
      <c r="C27" s="17" t="n">
        <v>0.26</v>
      </c>
    </row>
    <row r="28">
      <c r="A28" s="33" t="n">
        <v>27</v>
      </c>
      <c r="B28" s="17" t="n">
        <v>0.27</v>
      </c>
      <c r="C28" s="17" t="n">
        <v>0.27</v>
      </c>
    </row>
    <row r="29">
      <c r="A29" s="33" t="n">
        <v>28</v>
      </c>
      <c r="B29" s="17" t="n">
        <v>0.28</v>
      </c>
      <c r="C29" s="17" t="n">
        <v>0.28</v>
      </c>
    </row>
    <row r="30">
      <c r="A30" s="33" t="n">
        <v>29</v>
      </c>
      <c r="B30" s="17" t="n">
        <v>0.29</v>
      </c>
      <c r="C30" s="17" t="n">
        <v>0.29</v>
      </c>
    </row>
    <row r="31">
      <c r="A31" s="33" t="n">
        <v>30</v>
      </c>
      <c r="B31" s="17" t="n">
        <v>0.3</v>
      </c>
      <c r="C31" s="17" t="n">
        <v>0.3</v>
      </c>
    </row>
    <row r="32">
      <c r="A32" s="33" t="n">
        <v>31</v>
      </c>
      <c r="B32" s="17" t="n">
        <v>0.31</v>
      </c>
      <c r="C32" s="17" t="n">
        <v>0.31</v>
      </c>
    </row>
    <row r="33">
      <c r="A33" s="33" t="n">
        <v>32</v>
      </c>
      <c r="B33" s="17" t="n">
        <v>0.32</v>
      </c>
      <c r="C33" s="17" t="n">
        <v>0.32</v>
      </c>
    </row>
    <row r="34">
      <c r="A34" s="33" t="n">
        <v>33</v>
      </c>
      <c r="B34" s="17" t="n">
        <v>0.33</v>
      </c>
      <c r="C34" s="17" t="n">
        <v>0.33</v>
      </c>
    </row>
    <row r="35">
      <c r="A35" s="33" t="n">
        <v>34</v>
      </c>
      <c r="B35" s="17" t="n">
        <v>0.34</v>
      </c>
      <c r="C35" s="17" t="n">
        <v>0.34</v>
      </c>
    </row>
    <row r="36">
      <c r="A36" s="33" t="n">
        <v>35</v>
      </c>
      <c r="B36" s="17" t="n">
        <v>0.35</v>
      </c>
      <c r="C36" s="17" t="n">
        <v>0.35</v>
      </c>
    </row>
    <row r="37">
      <c r="A37" s="33" t="n">
        <v>36</v>
      </c>
      <c r="B37" s="17" t="n">
        <v>0.36</v>
      </c>
      <c r="C37" s="17" t="n">
        <v>0.36</v>
      </c>
    </row>
    <row r="38">
      <c r="A38" s="33" t="n">
        <v>37</v>
      </c>
      <c r="B38" s="17" t="n">
        <v>0.37</v>
      </c>
      <c r="C38" s="17" t="n">
        <v>0.37</v>
      </c>
    </row>
    <row r="39">
      <c r="A39" s="33" t="n">
        <v>38</v>
      </c>
      <c r="B39" s="17" t="n">
        <v>0.38</v>
      </c>
      <c r="C39" s="17" t="n">
        <v>0.38</v>
      </c>
    </row>
    <row r="40">
      <c r="A40" s="33" t="n">
        <v>39</v>
      </c>
      <c r="B40" s="17" t="n">
        <v>0.39</v>
      </c>
      <c r="C40" s="17" t="n">
        <v>0.39</v>
      </c>
    </row>
    <row r="41">
      <c r="A41" s="33" t="n">
        <v>40</v>
      </c>
      <c r="B41" s="17" t="n">
        <v>0.4</v>
      </c>
      <c r="C41" s="17" t="n">
        <v>0.4</v>
      </c>
    </row>
    <row r="42">
      <c r="A42" s="33" t="n">
        <v>41</v>
      </c>
      <c r="B42" s="17" t="n">
        <v>0.41</v>
      </c>
      <c r="C42" s="17" t="n">
        <v>0.41</v>
      </c>
    </row>
    <row r="43">
      <c r="A43" s="33" t="n">
        <v>42</v>
      </c>
      <c r="B43" s="17" t="n">
        <v>0.42</v>
      </c>
      <c r="C43" s="17" t="n">
        <v>0.42</v>
      </c>
    </row>
    <row r="44">
      <c r="A44" s="33" t="n">
        <v>43</v>
      </c>
      <c r="B44" s="17" t="n">
        <v>0.43</v>
      </c>
      <c r="C44" s="17" t="n">
        <v>0.43</v>
      </c>
    </row>
    <row r="45">
      <c r="A45" s="33" t="n">
        <v>44</v>
      </c>
      <c r="B45" s="17" t="n">
        <v>0.44</v>
      </c>
      <c r="C45" s="17" t="n">
        <v>0.44</v>
      </c>
    </row>
    <row r="46">
      <c r="A46" s="33" t="n">
        <v>45</v>
      </c>
      <c r="B46" s="17" t="n">
        <v>0.45</v>
      </c>
      <c r="C46" s="17" t="n">
        <v>0.45</v>
      </c>
    </row>
    <row r="47">
      <c r="A47" s="33" t="n">
        <v>46</v>
      </c>
      <c r="B47" s="17" t="n">
        <v>0.46</v>
      </c>
      <c r="C47" s="17" t="n">
        <v>0.46</v>
      </c>
    </row>
    <row r="48">
      <c r="A48" s="33" t="n">
        <v>47</v>
      </c>
      <c r="B48" s="17" t="n">
        <v>0.47</v>
      </c>
      <c r="C48" s="17" t="n">
        <v>0.47</v>
      </c>
    </row>
    <row r="49">
      <c r="A49" s="33" t="n">
        <v>48</v>
      </c>
      <c r="B49" s="17" t="n">
        <v>0.48</v>
      </c>
      <c r="C49" s="17" t="n">
        <v>0.48</v>
      </c>
    </row>
    <row r="50">
      <c r="A50" s="33" t="n">
        <v>49</v>
      </c>
      <c r="B50" s="17" t="n">
        <v>0.49</v>
      </c>
      <c r="C50" s="17" t="n">
        <v>0.49</v>
      </c>
    </row>
    <row r="51">
      <c r="A51" s="33" t="n">
        <v>50</v>
      </c>
      <c r="B51" s="17" t="n">
        <v>0.5</v>
      </c>
      <c r="C51" s="17" t="n">
        <v>0.5</v>
      </c>
    </row>
    <row r="52">
      <c r="A52" s="33" t="n">
        <v>51</v>
      </c>
      <c r="B52" s="17" t="n">
        <v>0.51</v>
      </c>
      <c r="C52" s="17" t="n">
        <v>0.51</v>
      </c>
    </row>
    <row r="53">
      <c r="A53" s="33" t="n">
        <v>52</v>
      </c>
      <c r="B53" s="17" t="n">
        <v>0.52</v>
      </c>
      <c r="C53" s="17" t="n">
        <v>0.52</v>
      </c>
    </row>
    <row r="54">
      <c r="A54" s="33" t="n">
        <v>53</v>
      </c>
      <c r="B54" s="17" t="n">
        <v>0.53</v>
      </c>
      <c r="C54" s="17" t="n">
        <v>0.53</v>
      </c>
    </row>
    <row r="55">
      <c r="A55" s="33" t="n">
        <v>54</v>
      </c>
      <c r="B55" s="17" t="n">
        <v>0.54</v>
      </c>
      <c r="C55" s="17" t="n">
        <v>0.54</v>
      </c>
    </row>
    <row r="56">
      <c r="A56" s="33" t="n">
        <v>55</v>
      </c>
      <c r="B56" s="17" t="n">
        <v>0.55</v>
      </c>
      <c r="C56" s="17" t="n">
        <v>0.55</v>
      </c>
    </row>
    <row r="57">
      <c r="A57" s="33" t="n">
        <v>56</v>
      </c>
      <c r="B57" s="17" t="n">
        <v>0.5600000000000001</v>
      </c>
      <c r="C57" s="17" t="n">
        <v>0.5600000000000001</v>
      </c>
    </row>
    <row r="58">
      <c r="A58" s="33" t="n">
        <v>57</v>
      </c>
      <c r="B58" s="17" t="n">
        <v>0.57</v>
      </c>
      <c r="C58" s="17" t="n">
        <v>0.57</v>
      </c>
    </row>
    <row r="59">
      <c r="A59" s="33" t="n">
        <v>58</v>
      </c>
      <c r="B59" s="17" t="n">
        <v>0.58</v>
      </c>
      <c r="C59" s="17" t="n">
        <v>0.58</v>
      </c>
    </row>
    <row r="60">
      <c r="A60" s="33" t="n">
        <v>59</v>
      </c>
      <c r="B60" s="17" t="n">
        <v>0.59</v>
      </c>
      <c r="C60" s="17" t="n">
        <v>0.59</v>
      </c>
    </row>
    <row r="61">
      <c r="A61" s="33" t="n">
        <v>60</v>
      </c>
      <c r="B61" s="17" t="n">
        <v>0.6</v>
      </c>
      <c r="C61" s="17" t="n">
        <v>0.6</v>
      </c>
    </row>
    <row r="62">
      <c r="A62" s="33" t="n">
        <v>61</v>
      </c>
      <c r="B62" s="17" t="n">
        <v>0.61</v>
      </c>
      <c r="C62" s="17" t="n">
        <v>0.61</v>
      </c>
    </row>
    <row r="63">
      <c r="A63" s="33" t="n">
        <v>62</v>
      </c>
      <c r="B63" s="17" t="n">
        <v>0.62</v>
      </c>
      <c r="C63" s="17" t="n">
        <v>0.62</v>
      </c>
    </row>
    <row r="64">
      <c r="A64" s="33" t="n">
        <v>63</v>
      </c>
      <c r="B64" s="17" t="n">
        <v>0.63</v>
      </c>
      <c r="C64" s="17" t="n">
        <v>0.63</v>
      </c>
    </row>
    <row r="65">
      <c r="A65" s="33" t="n">
        <v>64</v>
      </c>
      <c r="B65" s="17" t="n">
        <v>0.64</v>
      </c>
      <c r="C65" s="17" t="n">
        <v>0.64</v>
      </c>
    </row>
    <row r="66">
      <c r="A66" s="33" t="n">
        <v>65</v>
      </c>
      <c r="B66" s="17" t="n">
        <v>0.65</v>
      </c>
      <c r="C66" s="17" t="n">
        <v>0.65</v>
      </c>
    </row>
    <row r="67">
      <c r="A67" s="33" t="n">
        <v>66</v>
      </c>
      <c r="B67" s="17" t="n">
        <v>0.66</v>
      </c>
      <c r="C67" s="17" t="n">
        <v>0.66</v>
      </c>
    </row>
    <row r="68">
      <c r="A68" s="33" t="n">
        <v>67</v>
      </c>
      <c r="B68" s="17" t="n">
        <v>0.67</v>
      </c>
      <c r="C68" s="17" t="n">
        <v>0.67</v>
      </c>
    </row>
    <row r="69">
      <c r="A69" s="33" t="n">
        <v>68</v>
      </c>
      <c r="B69" s="17" t="n">
        <v>0.68</v>
      </c>
      <c r="C69" s="17" t="n">
        <v>0.68</v>
      </c>
    </row>
    <row r="70">
      <c r="A70" s="33" t="n">
        <v>69</v>
      </c>
      <c r="B70" s="17" t="n">
        <v>0.6899999999999999</v>
      </c>
      <c r="C70" s="17" t="n">
        <v>0.6899999999999999</v>
      </c>
    </row>
    <row r="71">
      <c r="A71" s="33" t="n">
        <v>70</v>
      </c>
      <c r="B71" s="17" t="n">
        <v>0.7</v>
      </c>
      <c r="C71" s="17" t="n">
        <v>0.7</v>
      </c>
    </row>
    <row r="72">
      <c r="A72" s="33" t="n">
        <v>71</v>
      </c>
      <c r="B72" s="17" t="n">
        <v>0.71</v>
      </c>
      <c r="C72" s="17" t="n">
        <v>0.71</v>
      </c>
    </row>
    <row r="73">
      <c r="A73" s="33" t="n">
        <v>72</v>
      </c>
      <c r="B73" s="17" t="n">
        <v>0.72</v>
      </c>
      <c r="C73" s="17" t="n">
        <v>0.72</v>
      </c>
    </row>
    <row r="74">
      <c r="A74" s="33" t="n">
        <v>73</v>
      </c>
      <c r="B74" s="17" t="n">
        <v>0.73</v>
      </c>
      <c r="C74" s="17" t="n">
        <v>0.73</v>
      </c>
    </row>
    <row r="75">
      <c r="A75" s="33" t="n">
        <v>74</v>
      </c>
      <c r="B75" s="17" t="n">
        <v>0.74</v>
      </c>
      <c r="C75" s="17" t="n">
        <v>0.74</v>
      </c>
    </row>
    <row r="76">
      <c r="A76" s="33" t="n">
        <v>75</v>
      </c>
      <c r="B76" s="17" t="n">
        <v>0.75</v>
      </c>
      <c r="C76" s="17" t="n">
        <v>0.75</v>
      </c>
    </row>
    <row r="77">
      <c r="A77" s="33" t="n">
        <v>76</v>
      </c>
      <c r="B77" s="17" t="n">
        <v>0.76</v>
      </c>
      <c r="C77" s="17" t="n">
        <v>0.76</v>
      </c>
    </row>
    <row r="78">
      <c r="A78" s="33" t="n">
        <v>77</v>
      </c>
      <c r="B78" s="17" t="n">
        <v>0.77</v>
      </c>
      <c r="C78" s="17" t="n">
        <v>0.77</v>
      </c>
    </row>
    <row r="79">
      <c r="A79" s="33" t="n">
        <v>78</v>
      </c>
      <c r="B79" s="17" t="n">
        <v>0.78</v>
      </c>
      <c r="C79" s="17" t="n">
        <v>0.78</v>
      </c>
    </row>
    <row r="80">
      <c r="A80" s="33" t="n">
        <v>79</v>
      </c>
      <c r="B80" s="17" t="n">
        <v>0.79</v>
      </c>
      <c r="C80" s="17" t="n">
        <v>0.79</v>
      </c>
    </row>
    <row r="81">
      <c r="A81" s="33" t="n">
        <v>80</v>
      </c>
      <c r="B81" s="17" t="n">
        <v>0.8</v>
      </c>
      <c r="C81" s="17" t="n">
        <v>0.8</v>
      </c>
    </row>
    <row r="82">
      <c r="A82" s="33" t="n">
        <v>81</v>
      </c>
      <c r="B82" s="17" t="n">
        <v>0.8100000000000001</v>
      </c>
      <c r="C82" s="17" t="n">
        <v>0.8100000000000001</v>
      </c>
    </row>
    <row r="83">
      <c r="A83" s="33" t="n">
        <v>82</v>
      </c>
      <c r="B83" s="17" t="n">
        <v>0.82</v>
      </c>
      <c r="C83" s="17" t="n">
        <v>0.82</v>
      </c>
    </row>
    <row r="84">
      <c r="A84" s="33" t="n">
        <v>83</v>
      </c>
      <c r="B84" s="17" t="n">
        <v>0.83</v>
      </c>
      <c r="C84" s="17" t="n">
        <v>0.83</v>
      </c>
    </row>
    <row r="85">
      <c r="A85" s="33" t="n">
        <v>84</v>
      </c>
      <c r="B85" s="17" t="n">
        <v>0.84</v>
      </c>
      <c r="C85" s="17" t="n">
        <v>0.84</v>
      </c>
    </row>
    <row r="86">
      <c r="A86" s="33" t="n">
        <v>85</v>
      </c>
      <c r="B86" s="17" t="n">
        <v>0.85</v>
      </c>
      <c r="C86" s="17" t="n">
        <v>0.85</v>
      </c>
    </row>
    <row r="87">
      <c r="A87" s="33" t="n">
        <v>86</v>
      </c>
      <c r="B87" s="17" t="n">
        <v>0.86</v>
      </c>
      <c r="C87" s="17" t="n">
        <v>0.86</v>
      </c>
    </row>
    <row r="88">
      <c r="A88" s="33" t="n">
        <v>87</v>
      </c>
      <c r="B88" s="17" t="n">
        <v>0.87</v>
      </c>
      <c r="C88" s="17" t="n">
        <v>0.87</v>
      </c>
    </row>
    <row r="89">
      <c r="A89" s="33" t="n">
        <v>88</v>
      </c>
      <c r="B89" s="17" t="n">
        <v>0.88</v>
      </c>
      <c r="C89" s="17" t="n">
        <v>0.88</v>
      </c>
    </row>
    <row r="90">
      <c r="A90" s="33" t="n">
        <v>89</v>
      </c>
      <c r="B90" s="17" t="n">
        <v>0.89</v>
      </c>
      <c r="C90" s="17" t="n">
        <v>0.89</v>
      </c>
    </row>
    <row r="91">
      <c r="A91" s="33" t="n">
        <v>90</v>
      </c>
      <c r="B91" s="17" t="n">
        <v>0.9</v>
      </c>
      <c r="C91" s="17" t="n">
        <v>0.9</v>
      </c>
    </row>
    <row r="92">
      <c r="A92" s="33" t="n">
        <v>91</v>
      </c>
      <c r="B92" s="17" t="n">
        <v>0.91</v>
      </c>
      <c r="C92" s="17" t="n">
        <v>0.91</v>
      </c>
    </row>
    <row r="93">
      <c r="A93" s="33" t="n">
        <v>92</v>
      </c>
      <c r="B93" s="17" t="n">
        <v>0.92</v>
      </c>
      <c r="C93" s="17" t="n">
        <v>0.92</v>
      </c>
    </row>
    <row r="94">
      <c r="A94" s="33" t="n">
        <v>93</v>
      </c>
      <c r="B94" s="17" t="n">
        <v>0.93</v>
      </c>
      <c r="C94" s="17" t="n">
        <v>0.93</v>
      </c>
    </row>
    <row r="95">
      <c r="A95" s="33" t="n">
        <v>94</v>
      </c>
      <c r="B95" s="17" t="n">
        <v>0.9399999999999999</v>
      </c>
      <c r="C95" s="17" t="n">
        <v>0.9399999999999999</v>
      </c>
    </row>
    <row r="96">
      <c r="A96" s="33" t="n">
        <v>95</v>
      </c>
      <c r="B96" s="17" t="n">
        <v>2</v>
      </c>
      <c r="C96" s="17" t="n">
        <v>2</v>
      </c>
    </row>
    <row r="97">
      <c r="A97" s="33" t="n">
        <v>96</v>
      </c>
      <c r="B97" s="17" t="n">
        <v>3</v>
      </c>
      <c r="C97" s="17" t="n">
        <v>3</v>
      </c>
    </row>
    <row r="98">
      <c r="A98" s="33" t="n">
        <v>97</v>
      </c>
      <c r="B98" s="17" t="n">
        <v>4</v>
      </c>
      <c r="C98" s="17" t="n">
        <v>4</v>
      </c>
    </row>
    <row r="99">
      <c r="A99" s="33" t="n">
        <v>98</v>
      </c>
      <c r="B99" s="17" t="n">
        <v>5</v>
      </c>
      <c r="C99" s="17" t="n">
        <v>5</v>
      </c>
    </row>
    <row r="100">
      <c r="A100" s="33" t="n">
        <v>99</v>
      </c>
      <c r="B100" s="17" t="n">
        <v>6</v>
      </c>
      <c r="C100" s="17" t="n">
        <v>6</v>
      </c>
    </row>
    <row r="101">
      <c r="A101" s="33" t="n">
        <v>100</v>
      </c>
      <c r="B101" s="17" t="n">
        <v>7</v>
      </c>
      <c r="C101" s="17" t="n">
        <v>32</v>
      </c>
    </row>
  </sheetData>
  <mergeCells count="1">
    <mergeCell ref="F10:H12"/>
  </mergeCells>
  <hyperlinks>
    <hyperlink ref="F1" location="'Contents'!A1" display="← Contents"/>
  </hyperlinks>
  <pageMargins left="0.75" right="0.75" top="1" bottom="1" header="0.5" footer="0.5"/>
  <pageSetup orientation="landscape" fitToHeight="0"/>
  <headerFooter>
    <oddHeader>&amp;CBasel Capital Adequacy for Market Risk — Section 10 · Case 2 · Same VaR, different tail</oddHeader>
    <oddFooter>&amp;LThe Mountain Path Academy · https://themountainpathacademy.com&amp;RProf. V. Ravichandran ·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FF004D80"/>
    <outlinePr summaryBelow="1" summaryRight="1"/>
    <pageSetUpPr fitToPage="1"/>
  </sheetPr>
  <dimension ref="A1:E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66" customWidth="1" min="3" max="3"/>
    <col width="3" customWidth="1" min="4" max="4"/>
    <col width="14" customWidth="1" min="5" max="5"/>
  </cols>
  <sheetData>
    <row r="1" ht="24" customHeight="1">
      <c r="A1" s="7" t="inlineStr">
        <is>
          <t>Item</t>
        </is>
      </c>
      <c r="B1" s="7" t="inlineStr">
        <is>
          <t>Value</t>
        </is>
      </c>
      <c r="C1" s="7" t="inlineStr">
        <is>
          <t>Formula / note</t>
        </is>
      </c>
      <c r="E1" s="15" t="inlineStr">
        <is>
          <t>← Contents</t>
        </is>
      </c>
    </row>
    <row r="2">
      <c r="A2" s="16" t="inlineStr">
        <is>
          <t>Long equity positions</t>
        </is>
      </c>
      <c r="B2" s="17" t="n">
        <v>80</v>
      </c>
      <c r="E2" s="18" t="inlineStr">
        <is>
          <t>Section 11
Basel II standardised method — equity + FX</t>
        </is>
      </c>
    </row>
    <row r="3">
      <c r="A3" s="16" t="inlineStr">
        <is>
          <t>Short equity positions (absolute)</t>
        </is>
      </c>
      <c r="B3" s="17" t="n">
        <v>20</v>
      </c>
    </row>
    <row r="4">
      <c r="A4" s="16" t="inlineStr">
        <is>
          <t>FX overall net open position</t>
        </is>
      </c>
      <c r="B4" s="17" t="n">
        <v>40</v>
      </c>
    </row>
    <row r="5">
      <c r="A5" s="16" t="inlineStr">
        <is>
          <t>Specific risk charge</t>
        </is>
      </c>
      <c r="B5" s="34" t="n">
        <v>0.08</v>
      </c>
    </row>
    <row r="6">
      <c r="A6" s="16" t="inlineStr">
        <is>
          <t>General risk charge</t>
        </is>
      </c>
      <c r="B6" s="34" t="n">
        <v>0.08</v>
      </c>
    </row>
    <row r="7">
      <c r="A7" s="16" t="inlineStr">
        <is>
          <t>FX charge</t>
        </is>
      </c>
      <c r="B7" s="34" t="n">
        <v>0.08</v>
      </c>
    </row>
    <row r="8">
      <c r="A8" s="16" t="inlineStr">
        <is>
          <t>Gross equity = long + short</t>
        </is>
      </c>
      <c r="B8" s="26">
        <f>B2+B3</f>
        <v/>
      </c>
    </row>
    <row r="9">
      <c r="A9" s="16" t="inlineStr">
        <is>
          <t>Net equity = |long − short|</t>
        </is>
      </c>
      <c r="B9" s="26">
        <f>ABS(B2-B3)</f>
        <v/>
      </c>
    </row>
    <row r="10">
      <c r="A10" s="16" t="inlineStr">
        <is>
          <t>Equity specific risk</t>
        </is>
      </c>
      <c r="B10" s="26">
        <f>B5*B8</f>
        <v/>
      </c>
    </row>
    <row r="11">
      <c r="A11" s="16" t="inlineStr">
        <is>
          <t>Equity general risk</t>
        </is>
      </c>
      <c r="B11" s="26">
        <f>B6*B9</f>
        <v/>
      </c>
    </row>
    <row r="12">
      <c r="A12" s="16" t="inlineStr">
        <is>
          <t>FX charge</t>
        </is>
      </c>
      <c r="B12" s="26">
        <f>B7*B4</f>
        <v/>
      </c>
    </row>
    <row r="13">
      <c r="A13" s="31" t="inlineStr">
        <is>
          <t>Total market-risk charge</t>
        </is>
      </c>
      <c r="B13" s="37">
        <f>SUM(B10:B12)</f>
        <v/>
      </c>
      <c r="C13" s="22" t="inlineStr">
        <is>
          <t>Expected 16.00</t>
        </is>
      </c>
    </row>
    <row r="14">
      <c r="A14" s="31" t="inlineStr">
        <is>
          <t>Market RWA = 12.5 × charge</t>
        </is>
      </c>
      <c r="B14" s="37">
        <f>12.5*B13</f>
        <v/>
      </c>
      <c r="C14" s="22" t="inlineStr">
        <is>
          <t>Expected 200.00</t>
        </is>
      </c>
    </row>
    <row r="15"/>
    <row r="16" ht="38" customHeight="1">
      <c r="A16" s="6" t="inlineStr">
        <is>
          <t>Excludes debt, commodities and options. A single risk weight on the whole trading-book notional is NOT this method.</t>
        </is>
      </c>
    </row>
  </sheetData>
  <mergeCells count="1">
    <mergeCell ref="A16:C16"/>
  </mergeCells>
  <hyperlinks>
    <hyperlink ref="E1" location="'Contents'!A1" display="← Contents"/>
  </hyperlinks>
  <pageMargins left="0.75" right="0.75" top="1" bottom="1" header="0.5" footer="0.5"/>
  <pageSetup orientation="landscape" fitToHeight="0"/>
  <headerFooter>
    <oddHeader>&amp;CBasel Capital Adequacy for Market Risk — Section 11 · Basel II standardised method — equity + FX</oddHeader>
    <oddFooter>&amp;LThe Mountain Path Academy · https://themountainpathacademy.com&amp;RProf. V. Ravichandran ·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FF004D80"/>
    <outlinePr summaryBelow="1" summaryRight="1"/>
    <pageSetUpPr fitToPage="1"/>
  </sheetPr>
  <dimension ref="A1:E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66" customWidth="1" min="3" max="3"/>
    <col width="3" customWidth="1" min="4" max="4"/>
    <col width="14" customWidth="1" min="5" max="5"/>
  </cols>
  <sheetData>
    <row r="1" ht="24" customHeight="1">
      <c r="A1" s="7" t="inlineStr">
        <is>
          <t>Item</t>
        </is>
      </c>
      <c r="B1" s="7" t="inlineStr">
        <is>
          <t>Value</t>
        </is>
      </c>
      <c r="C1" s="7" t="inlineStr">
        <is>
          <t>Formula / note</t>
        </is>
      </c>
      <c r="E1" s="15" t="inlineStr">
        <is>
          <t>← Contents</t>
        </is>
      </c>
    </row>
    <row r="2">
      <c r="A2" s="16" t="inlineStr">
        <is>
          <t>Latest 10-day VaR</t>
        </is>
      </c>
      <c r="B2" s="17" t="n">
        <v>12</v>
      </c>
      <c r="E2" s="18" t="inlineStr">
        <is>
          <t>Sections 12–13
Legacy VaR capital and Basel 2.5</t>
        </is>
      </c>
    </row>
    <row r="3">
      <c r="A3" s="16" t="inlineStr">
        <is>
          <t>60-day average VaR</t>
        </is>
      </c>
      <c r="B3" s="17" t="n">
        <v>10</v>
      </c>
    </row>
    <row r="4">
      <c r="A4" s="16" t="inlineStr">
        <is>
          <t>Multiplier mc (min 3)</t>
        </is>
      </c>
      <c r="B4" s="19" t="n">
        <v>3</v>
      </c>
    </row>
    <row r="5">
      <c r="A5" s="31" t="inlineStr">
        <is>
          <t>K(VaR) = max(latest, mc × average)</t>
        </is>
      </c>
      <c r="B5" s="37">
        <f>MAX(B2,B4*B3)</f>
        <v/>
      </c>
      <c r="C5" s="22" t="inlineStr">
        <is>
          <t>Basel II — expected 30 (VaR itself is not the charge)</t>
        </is>
      </c>
    </row>
    <row r="6"/>
    <row r="7" ht="20" customHeight="1">
      <c r="A7" s="24" t="inlineStr">
        <is>
          <t>Basel 2.5 — add stressed VaR and IRC</t>
        </is>
      </c>
    </row>
    <row r="8">
      <c r="A8" s="16" t="inlineStr">
        <is>
          <t>Latest stressed VaR</t>
        </is>
      </c>
      <c r="B8" s="17" t="n">
        <v>20</v>
      </c>
    </row>
    <row r="9">
      <c r="A9" s="16" t="inlineStr">
        <is>
          <t>60-day average stressed VaR</t>
        </is>
      </c>
      <c r="B9" s="17" t="n">
        <v>18</v>
      </c>
    </row>
    <row r="10">
      <c r="A10" s="16" t="inlineStr">
        <is>
          <t>Multiplier ms (min 3)</t>
        </is>
      </c>
      <c r="B10" s="19" t="n">
        <v>3</v>
      </c>
    </row>
    <row r="11">
      <c r="A11" s="16" t="inlineStr">
        <is>
          <t>K(sVaR) = max(latest, ms × average)</t>
        </is>
      </c>
      <c r="B11" s="26">
        <f>MAX(B8,B10*B9)</f>
        <v/>
      </c>
    </row>
    <row r="12">
      <c r="A12" s="16" t="inlineStr">
        <is>
          <t>Applicable IRC (already determined)</t>
        </is>
      </c>
      <c r="B12" s="17" t="n">
        <v>8</v>
      </c>
    </row>
    <row r="13">
      <c r="A13" s="31" t="inlineStr">
        <is>
          <t>Basel 2.5 market capital</t>
        </is>
      </c>
      <c r="B13" s="37">
        <f>B5+B11+B12</f>
        <v/>
      </c>
      <c r="C13" s="22" t="inlineStr">
        <is>
          <t>Expected 30 + 54 + 8 = 92</t>
        </is>
      </c>
    </row>
    <row r="14">
      <c r="A14" s="31" t="inlineStr">
        <is>
          <t>Market RWA</t>
        </is>
      </c>
      <c r="B14" s="37">
        <f>12.5*B13</f>
        <v/>
      </c>
      <c r="C14" s="22" t="inlineStr">
        <is>
          <t>Expected 1,150</t>
        </is>
      </c>
    </row>
  </sheetData>
  <mergeCells count="1">
    <mergeCell ref="A7:C7"/>
  </mergeCells>
  <hyperlinks>
    <hyperlink ref="E1" location="'Contents'!A1" display="← Contents"/>
  </hyperlinks>
  <pageMargins left="0.75" right="0.75" top="1" bottom="1" header="0.5" footer="0.5"/>
  <pageSetup orientation="landscape" fitToHeight="0"/>
  <headerFooter>
    <oddHeader>&amp;CBasel Capital Adequacy for Market Risk — Sections 12–13 · Legacy VaR capital and Basel 2.5</oddHeader>
    <oddFooter>&amp;LThe Mountain Path Academy · https://themountainpathacademy.com&amp;RProf. V. Ravichandran ·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FF004D80"/>
    <outlinePr summaryBelow="1" summaryRight="1"/>
    <pageSetUpPr fitToPage="1"/>
  </sheetPr>
  <dimension ref="A1:E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66" customWidth="1" min="3" max="3"/>
    <col width="3" customWidth="1" min="4" max="4"/>
    <col width="14" customWidth="1" min="5" max="5"/>
  </cols>
  <sheetData>
    <row r="1" ht="24" customHeight="1">
      <c r="A1" s="7" t="inlineStr">
        <is>
          <t>Item</t>
        </is>
      </c>
      <c r="B1" s="7" t="inlineStr">
        <is>
          <t>Value</t>
        </is>
      </c>
      <c r="C1" s="7" t="inlineStr">
        <is>
          <t>Formula / note</t>
        </is>
      </c>
      <c r="E1" s="15" t="inlineStr">
        <is>
          <t>← Contents</t>
        </is>
      </c>
    </row>
    <row r="2">
      <c r="A2" s="16" t="inlineStr">
        <is>
          <t>Market RWA (from VaR_Capital)</t>
        </is>
      </c>
      <c r="B2" s="26">
        <f>VaR_Capital!B14</f>
        <v/>
      </c>
      <c r="E2" s="18" t="inlineStr">
        <is>
          <t>Section 14
Basel III capital stack</t>
        </is>
      </c>
    </row>
    <row r="3">
      <c r="A3" s="16" t="inlineStr">
        <is>
          <t>Credit RWA</t>
        </is>
      </c>
      <c r="B3" s="17" t="n">
        <v>2000</v>
      </c>
    </row>
    <row r="4">
      <c r="A4" s="16" t="inlineStr">
        <is>
          <t>Operational RWA</t>
        </is>
      </c>
      <c r="B4" s="17" t="n">
        <v>350</v>
      </c>
    </row>
    <row r="5">
      <c r="A5" s="16" t="inlineStr">
        <is>
          <t>Total RWA</t>
        </is>
      </c>
      <c r="B5" s="26">
        <f>SUM(B2:B4)</f>
        <v/>
      </c>
      <c r="C5" s="22" t="inlineStr">
        <is>
          <t>Expected 3,500</t>
        </is>
      </c>
    </row>
    <row r="6"/>
    <row r="7">
      <c r="A7" s="16" t="inlineStr">
        <is>
          <t>CET1 incl. full CCB — ratio</t>
        </is>
      </c>
      <c r="B7" s="32" t="n">
        <v>0.07000000000000001</v>
      </c>
    </row>
    <row r="8">
      <c r="A8" s="16" t="inlineStr">
        <is>
          <t>Tier 1 incl. full CCB — ratio</t>
        </is>
      </c>
      <c r="B8" s="32" t="n">
        <v>0.08500000000000001</v>
      </c>
    </row>
    <row r="9">
      <c r="A9" s="16" t="inlineStr">
        <is>
          <t>Total incl. full CCB — ratio</t>
        </is>
      </c>
      <c r="B9" s="32" t="n">
        <v>0.105</v>
      </c>
    </row>
    <row r="10">
      <c r="A10" s="31" t="inlineStr">
        <is>
          <t>CET1 incl. full CCB — amount</t>
        </is>
      </c>
      <c r="B10" s="37">
        <f>B7*$B$5</f>
        <v/>
      </c>
    </row>
    <row r="11">
      <c r="A11" s="31" t="inlineStr">
        <is>
          <t>Tier 1 incl. full CCB — amount</t>
        </is>
      </c>
      <c r="B11" s="37">
        <f>B8*$B$5</f>
        <v/>
      </c>
    </row>
    <row r="12">
      <c r="A12" s="31" t="inlineStr">
        <is>
          <t>Total incl. full CCB — amount</t>
        </is>
      </c>
      <c r="B12" s="37">
        <f>B9*$B$5</f>
        <v/>
      </c>
    </row>
    <row r="13">
      <c r="A13" s="16" t="inlineStr">
        <is>
          <t>Minimum mix: CET1</t>
        </is>
      </c>
      <c r="B13" s="26">
        <f>B10</f>
        <v/>
      </c>
    </row>
    <row r="14">
      <c r="A14" s="16" t="inlineStr">
        <is>
          <t>AT1</t>
        </is>
      </c>
      <c r="B14" s="26">
        <f>B11-B10</f>
        <v/>
      </c>
    </row>
    <row r="15">
      <c r="A15" s="16" t="inlineStr">
        <is>
          <t>Tier 2</t>
        </is>
      </c>
      <c r="B15" s="26">
        <f>B12-B11</f>
        <v/>
      </c>
    </row>
    <row r="16"/>
    <row r="17" ht="38" customHeight="1">
      <c r="A17" s="6" t="inlineStr">
        <is>
          <t>Expected (page): 245.00 · 297.50 · 367.50; mix 245 + 52.50 + 70. Basel baselines — not RBI thresholds, and not an extra market charge.</t>
        </is>
      </c>
    </row>
  </sheetData>
  <mergeCells count="1">
    <mergeCell ref="A17:C17"/>
  </mergeCells>
  <hyperlinks>
    <hyperlink ref="E1" location="'Contents'!A1" display="← Contents"/>
  </hyperlinks>
  <pageMargins left="0.75" right="0.75" top="1" bottom="1" header="0.5" footer="0.5"/>
  <pageSetup orientation="landscape" fitToHeight="0"/>
  <headerFooter>
    <oddHeader>&amp;CBasel Capital Adequacy for Market Risk — Section 14 · Basel III capital stack</oddHeader>
    <oddFooter>&amp;LThe Mountain Path Academy · https://themountainpathacademy.com&amp;RProf. V. Ravichandran ·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FF004D80"/>
    <outlinePr summaryBelow="1" summaryRight="1"/>
    <pageSetUpPr fitToPage="1"/>
  </sheetPr>
  <dimension ref="A1:H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3" customWidth="1" min="3" max="3"/>
    <col width="14" customWidth="1" min="4" max="4"/>
    <col width="15" customWidth="1" min="5" max="5"/>
    <col width="13" customWidth="1" min="6" max="6"/>
    <col width="3" customWidth="1" min="7" max="7"/>
    <col width="14" customWidth="1" min="8" max="8"/>
  </cols>
  <sheetData>
    <row r="1" ht="24" customHeight="1">
      <c r="A1" s="7" t="inlineStr">
        <is>
          <t>Risk class</t>
        </is>
      </c>
      <c r="B1" s="7" t="inlineStr">
        <is>
          <t>Unscaled charge</t>
        </is>
      </c>
      <c r="C1" s="7" t="inlineStr">
        <is>
          <t>Basel scalar</t>
        </is>
      </c>
      <c r="D1" s="7" t="inlineStr">
        <is>
          <t>Basel scaled</t>
        </is>
      </c>
      <c r="E1" s="7" t="inlineStr">
        <is>
          <t>RBI final scalar</t>
        </is>
      </c>
      <c r="F1" s="7" t="inlineStr">
        <is>
          <t>RBI scaled</t>
        </is>
      </c>
      <c r="H1" s="15" t="inlineStr">
        <is>
          <t>← Contents</t>
        </is>
      </c>
    </row>
    <row r="2">
      <c r="A2" s="31" t="inlineStr">
        <is>
          <t>Interest rate</t>
        </is>
      </c>
      <c r="B2" s="17" t="n">
        <v>10</v>
      </c>
      <c r="C2" s="39" t="n">
        <v>1.3</v>
      </c>
      <c r="D2" s="26">
        <f>B2*C2</f>
        <v/>
      </c>
      <c r="E2" s="39" t="n">
        <v>1.3</v>
      </c>
      <c r="F2" s="26">
        <f>B2*E2</f>
        <v/>
      </c>
      <c r="H2" s="18" t="inlineStr">
        <is>
          <t>Sections 16 &amp; 27
Simplified standardised approach — Basel and RBI</t>
        </is>
      </c>
    </row>
    <row r="3">
      <c r="A3" s="31" t="inlineStr">
        <is>
          <t>Equity</t>
        </is>
      </c>
      <c r="B3" s="17" t="n">
        <v>2</v>
      </c>
      <c r="C3" s="39" t="n">
        <v>3.5</v>
      </c>
      <c r="D3" s="26">
        <f>B3*C3</f>
        <v/>
      </c>
      <c r="E3" s="39" t="n">
        <v>3.5</v>
      </c>
      <c r="F3" s="26">
        <f>B3*E3</f>
        <v/>
      </c>
    </row>
    <row r="4">
      <c r="A4" s="31" t="inlineStr">
        <is>
          <t>Commodity</t>
        </is>
      </c>
      <c r="B4" s="17" t="n">
        <v>1</v>
      </c>
      <c r="C4" s="39" t="n">
        <v>1.9</v>
      </c>
      <c r="D4" s="26">
        <f>B4*C4</f>
        <v/>
      </c>
      <c r="E4" s="40" t="inlineStr">
        <is>
          <t>n/a</t>
        </is>
      </c>
      <c r="F4" s="40" t="inlineStr">
        <is>
          <t>n/a</t>
        </is>
      </c>
    </row>
    <row r="5">
      <c r="A5" s="31" t="inlineStr">
        <is>
          <t>FX</t>
        </is>
      </c>
      <c r="B5" s="17" t="n">
        <v>3</v>
      </c>
      <c r="C5" s="39" t="n">
        <v>1.2</v>
      </c>
      <c r="D5" s="26">
        <f>B5*C5</f>
        <v/>
      </c>
      <c r="E5" s="39" t="n">
        <v>1.2</v>
      </c>
      <c r="F5" s="26">
        <f>B5*E5</f>
        <v/>
      </c>
    </row>
    <row r="6">
      <c r="A6" s="31" t="inlineStr">
        <is>
          <t>Total charge</t>
        </is>
      </c>
      <c r="D6" s="37">
        <f>SUM(D2:D5)</f>
        <v/>
      </c>
      <c r="F6" s="37">
        <f>SUM(F2:F5)</f>
        <v/>
      </c>
    </row>
    <row r="7">
      <c r="A7" s="31" t="inlineStr">
        <is>
          <t>Market RWA = 12.5 × total</t>
        </is>
      </c>
      <c r="D7" s="37">
        <f>12.5*D6</f>
        <v/>
      </c>
      <c r="F7" s="37">
        <f>12.5*F6</f>
        <v/>
      </c>
    </row>
    <row r="8"/>
    <row r="9">
      <c r="A9" s="6" t="inlineStr">
        <is>
          <t>Expected (page): Basel 25.50 / 318.75 · RBI final 23.60 / 295.00.  RBI's domestic formula has NO commodity class — never insert the global four-class formula into an Indian calculation. Unscaled charges must already include option components. See tab IR_SSA_3Bonds for how an interest-rate base charge is built.</t>
        </is>
      </c>
    </row>
    <row r="10"/>
    <row r="11"/>
  </sheetData>
  <mergeCells count="1">
    <mergeCell ref="A9:F11"/>
  </mergeCells>
  <hyperlinks>
    <hyperlink ref="H1" location="'Contents'!A1" display="← Contents"/>
  </hyperlinks>
  <pageMargins left="0.75" right="0.75" top="1" bottom="1" header="0.5" footer="0.5"/>
  <pageSetup orientation="landscape" fitToHeight="0"/>
  <headerFooter>
    <oddHeader>&amp;CBasel Capital Adequacy for Market Risk — Sections 16 &amp; 27 · Simplified standardised approach — Basel and RBI</oddHeader>
    <oddFooter>&amp;LThe Mountain Path Academy · https://themountainpathacademy.com&amp;RProf. V. Ravichandran · 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tabColor rgb="FF004D80"/>
    <outlinePr summaryBelow="1" summaryRight="1"/>
    <pageSetUpPr fitToPage="1"/>
  </sheetPr>
  <dimension ref="A1:J2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26" customWidth="1" min="3" max="3"/>
    <col width="14" customWidth="1" min="4" max="4"/>
    <col width="13" customWidth="1" min="5" max="5"/>
    <col width="14" customWidth="1" min="6" max="6"/>
    <col width="12" customWidth="1" min="7" max="7"/>
    <col width="16" customWidth="1" min="8" max="8"/>
    <col width="3" customWidth="1" min="9" max="9"/>
    <col width="14" customWidth="1" min="10" max="10"/>
  </cols>
  <sheetData>
    <row r="1" ht="24" customHeight="1">
      <c r="A1" s="7" t="inlineStr">
        <is>
          <t>Bond / issuer</t>
        </is>
      </c>
      <c r="B1" s="7" t="inlineStr">
        <is>
          <t>Signed value</t>
        </is>
      </c>
      <c r="C1" s="7" t="inlineStr">
        <is>
          <t>Rating / residual maturity</t>
        </is>
      </c>
      <c r="D1" s="7" t="inlineStr">
        <is>
          <t>Modified duration</t>
        </is>
      </c>
      <c r="E1" s="7" t="inlineStr">
        <is>
          <t>Specific-risk %</t>
        </is>
      </c>
      <c r="F1" s="7" t="inlineStr">
        <is>
          <t>Specific charge</t>
        </is>
      </c>
      <c r="G1" s="7" t="inlineStr">
        <is>
          <t>Yield shock</t>
        </is>
      </c>
      <c r="H1" s="7" t="inlineStr">
        <is>
          <t>Signed sensitivity</t>
        </is>
      </c>
      <c r="J1" s="15" t="inlineStr">
        <is>
          <t>← Contents</t>
        </is>
      </c>
    </row>
    <row r="2">
      <c r="A2" s="31" t="inlineStr">
        <is>
          <t>A · Central Government</t>
        </is>
      </c>
      <c r="B2" s="17" t="n">
        <v>100</v>
      </c>
      <c r="C2" s="16" t="inlineStr">
        <is>
          <t>Domestic govt / 2.7 yrs</t>
        </is>
      </c>
      <c r="D2" s="19" t="n">
        <v>2.2</v>
      </c>
      <c r="E2" s="27" t="n">
        <v>0</v>
      </c>
      <c r="F2" s="28">
        <f>ABS(B2)*E2</f>
        <v/>
      </c>
      <c r="G2" s="30">
        <f>$B$8</f>
        <v/>
      </c>
      <c r="H2" s="28">
        <f>B2*D2*G2</f>
        <v/>
      </c>
      <c r="J2" s="18" t="inlineStr">
        <is>
          <t>Section 27
Interest-rate SSA — three bonds to RBI market RWA</t>
        </is>
      </c>
    </row>
    <row r="3">
      <c r="A3" s="31" t="inlineStr">
        <is>
          <t>B · Corporate</t>
        </is>
      </c>
      <c r="B3" s="17" t="n">
        <v>50</v>
      </c>
      <c r="C3" s="16" t="inlineStr">
        <is>
          <t>AA / 3.0 yrs</t>
        </is>
      </c>
      <c r="D3" s="19" t="n">
        <v>2.4</v>
      </c>
      <c r="E3" s="27" t="n">
        <v>0.016</v>
      </c>
      <c r="F3" s="28">
        <f>ABS(B3)*E3</f>
        <v/>
      </c>
      <c r="G3" s="30">
        <f>$B$8</f>
        <v/>
      </c>
      <c r="H3" s="28">
        <f>B3*D3*G3</f>
        <v/>
      </c>
    </row>
    <row r="4">
      <c r="A4" s="31" t="inlineStr">
        <is>
          <t>C · Central Government</t>
        </is>
      </c>
      <c r="B4" s="17" t="n">
        <v>-40</v>
      </c>
      <c r="C4" s="16" t="inlineStr">
        <is>
          <t>Domestic govt / 2.6 yrs</t>
        </is>
      </c>
      <c r="D4" s="19" t="n">
        <v>2.1</v>
      </c>
      <c r="E4" s="27" t="n">
        <v>0</v>
      </c>
      <c r="F4" s="28">
        <f>ABS(B4)*E4</f>
        <v/>
      </c>
      <c r="G4" s="30">
        <f>$B$8</f>
        <v/>
      </c>
      <c r="H4" s="28">
        <f>B4*D4*G4</f>
        <v/>
      </c>
    </row>
    <row r="5">
      <c r="A5" s="31" t="inlineStr">
        <is>
          <t>Total</t>
        </is>
      </c>
      <c r="F5" s="28">
        <f>SUM(F2:F4)</f>
        <v/>
      </c>
      <c r="H5" s="28">
        <f>SUM(H2:H4)</f>
        <v/>
      </c>
    </row>
    <row r="6"/>
    <row r="7" ht="20" customHeight="1">
      <c r="A7" s="24" t="inlineStr">
        <is>
          <t>Duration method — one occupied band (&gt;1.9–2.8 years)</t>
        </is>
      </c>
    </row>
    <row r="8">
      <c r="A8" s="16" t="inlineStr">
        <is>
          <t>Assumed yield change for the band</t>
        </is>
      </c>
      <c r="B8" s="27" t="n">
        <v>0.008</v>
      </c>
      <c r="C8" s="22" t="inlineStr">
        <is>
          <t>Slot by MODIFIED DURATION (not residual maturity) for the general charge</t>
        </is>
      </c>
    </row>
    <row r="9">
      <c r="A9" s="16" t="inlineStr">
        <is>
          <t>Vertical disallowance</t>
        </is>
      </c>
      <c r="B9" s="34" t="n">
        <v>0.05</v>
      </c>
    </row>
    <row r="10">
      <c r="A10" s="16" t="inlineStr">
        <is>
          <t>Long sensitivities</t>
        </is>
      </c>
      <c r="B10" s="28">
        <f>SUMIF(H2:H4,"&gt;0")</f>
        <v/>
      </c>
    </row>
    <row r="11">
      <c r="A11" s="16" t="inlineStr">
        <is>
          <t>Short sensitivities (magnitude)</t>
        </is>
      </c>
      <c r="B11" s="28">
        <f>-SUMIF(H2:H4,"&lt;0")</f>
        <v/>
      </c>
    </row>
    <row r="12">
      <c r="A12" s="16" t="inlineStr">
        <is>
          <t>Net position = |long − short|</t>
        </is>
      </c>
      <c r="B12" s="28">
        <f>ABS(B10-B11)</f>
        <v/>
      </c>
    </row>
    <row r="13">
      <c r="A13" s="16" t="inlineStr">
        <is>
          <t>Matched = MIN(long, short)</t>
        </is>
      </c>
      <c r="B13" s="28">
        <f>MIN(B10,B11)</f>
        <v/>
      </c>
    </row>
    <row r="14">
      <c r="A14" s="16" t="inlineStr">
        <is>
          <t>Vertical disallowance charge</t>
        </is>
      </c>
      <c r="B14" s="28">
        <f>B9*B13</f>
        <v/>
      </c>
    </row>
    <row r="15">
      <c r="A15" s="31" t="inlineStr">
        <is>
          <t>General market-risk charge</t>
        </is>
      </c>
      <c r="B15" s="21">
        <f>B12+B14</f>
        <v/>
      </c>
      <c r="C15" s="22" t="inlineStr">
        <is>
          <t>One band → no horizontal disallowance</t>
        </is>
      </c>
    </row>
    <row r="16"/>
    <row r="17" ht="20" customHeight="1">
      <c r="A17" s="24" t="inlineStr">
        <is>
          <t>From CR_IR to RWA</t>
        </is>
      </c>
    </row>
    <row r="18">
      <c r="A18" s="16" t="inlineStr">
        <is>
          <t>Specific-risk charge</t>
        </is>
      </c>
      <c r="B18" s="28">
        <f>F5</f>
        <v/>
      </c>
    </row>
    <row r="19">
      <c r="A19" s="31" t="inlineStr">
        <is>
          <t>CR_IR = specific + general</t>
        </is>
      </c>
      <c r="B19" s="21">
        <f>B18+B15</f>
        <v/>
      </c>
    </row>
    <row r="20">
      <c r="A20" s="16" t="inlineStr">
        <is>
          <t>RBI interest-rate scalar</t>
        </is>
      </c>
      <c r="B20" s="39" t="n">
        <v>1.3</v>
      </c>
    </row>
    <row r="21">
      <c r="A21" s="31" t="inlineStr">
        <is>
          <t>Scaled capital = 1.3 × CR_IR</t>
        </is>
      </c>
      <c r="B21" s="41">
        <f>B20*B19</f>
        <v/>
      </c>
    </row>
    <row r="22">
      <c r="A22" s="31" t="inlineStr">
        <is>
          <t>Market RWA = 12.5 × scaled capital</t>
        </is>
      </c>
      <c r="B22" s="21">
        <f>12.5*B21</f>
        <v/>
      </c>
    </row>
    <row r="23"/>
    <row r="24" ht="26" customHeight="1">
      <c r="A24" s="6" t="inlineStr">
        <is>
          <t>Expected (page): specific 0.80 · long 2.7200 · short 0.6720 · net 2.0480 · disallowance 0.0336 · general 2.0816 · CR_IR 2.8816 · capital 3.74608 (display 3.75) · RWA 46.8260 (display 46.83). Plain fixed-rate INR HFT bonds, no options. Domestic Central Government securities carry zero specific risk; AA corporate &gt; 24 months 1.60%. Different government issues cannot use identical-position offsets; more bands need horizontal disallowances; each currency has its own ladder. Source: RBI Directions, 21 Sep 2026, paras 40, 43, 47–49; Tables 1, 3, 4; compare Basel MAR40.29.</t>
        </is>
      </c>
    </row>
    <row r="25" ht="26" customHeight="1"/>
    <row r="26" ht="26" customHeight="1"/>
  </sheetData>
  <mergeCells count="3">
    <mergeCell ref="A7:H7"/>
    <mergeCell ref="A24:H26"/>
    <mergeCell ref="A17:H17"/>
  </mergeCells>
  <hyperlinks>
    <hyperlink ref="J1" location="'Contents'!A1" display="← Contents"/>
  </hyperlinks>
  <pageMargins left="0.75" right="0.75" top="1" bottom="1" header="0.5" footer="0.5"/>
  <pageSetup orientation="landscape" fitToHeight="0"/>
  <headerFooter>
    <oddHeader>&amp;CBasel Capital Adequacy for Market Risk — Section 27 · Interest-rate SSA — three bonds to RBI market RWA</oddHeader>
    <oddFooter>&amp;LThe Mountain Path Academy · https://themountainpathacademy.com&amp;RProf. V. Ravichandran · 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tabColor rgb="FF004D80"/>
    <outlinePr summaryBelow="1" summaryRight="1"/>
    <pageSetUpPr fitToPage="1"/>
  </sheetPr>
  <dimension ref="A1:G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4" customWidth="1" min="4" max="4"/>
    <col width="56" customWidth="1" min="5" max="5"/>
    <col width="3" customWidth="1" min="6" max="6"/>
    <col width="14" customWidth="1" min="7" max="7"/>
  </cols>
  <sheetData>
    <row r="1" ht="24" customHeight="1">
      <c r="A1" s="7" t="inlineStr">
        <is>
          <t>Item</t>
        </is>
      </c>
      <c r="B1" s="7" t="inlineStr">
        <is>
          <t>Low</t>
        </is>
      </c>
      <c r="C1" s="7" t="inlineStr">
        <is>
          <t>Medium</t>
        </is>
      </c>
      <c r="D1" s="7" t="inlineStr">
        <is>
          <t>High</t>
        </is>
      </c>
      <c r="E1" s="7" t="inlineStr">
        <is>
          <t>Formula / note</t>
        </is>
      </c>
      <c r="G1" s="15" t="inlineStr">
        <is>
          <t>← Contents</t>
        </is>
      </c>
    </row>
    <row r="2">
      <c r="A2" s="16" t="inlineStr">
        <is>
          <t>Weighted sensitivity WS1</t>
        </is>
      </c>
      <c r="C2" s="17" t="n">
        <v>4</v>
      </c>
      <c r="G2" s="18" t="inlineStr">
        <is>
          <t>Section 18 · Case 3
Sensitivities-based method — three correlation scenarios</t>
        </is>
      </c>
    </row>
    <row r="3">
      <c r="A3" s="16" t="inlineStr">
        <is>
          <t>Weighted sensitivity WS2</t>
        </is>
      </c>
      <c r="C3" s="17" t="n">
        <v>-3</v>
      </c>
    </row>
    <row r="4">
      <c r="A4" s="16" t="inlineStr">
        <is>
          <t>Prescribed (medium) correlation ρ</t>
        </is>
      </c>
      <c r="C4" s="17" t="n">
        <v>0.5</v>
      </c>
    </row>
    <row r="5">
      <c r="A5" s="31" t="inlineStr">
        <is>
          <t>Scenario correlation</t>
        </is>
      </c>
      <c r="B5" s="42">
        <f>MAX(2*C4-1,0.75*C4)</f>
        <v/>
      </c>
      <c r="C5" s="42">
        <f>C4</f>
        <v/>
      </c>
      <c r="D5" s="42">
        <f>MIN(1.25*C4,1)</f>
        <v/>
      </c>
      <c r="E5" s="22" t="inlineStr">
        <is>
          <t>Low = max(2ρ − 1, 0.75ρ); High = min(1.25ρ, 1)</t>
        </is>
      </c>
    </row>
    <row r="6">
      <c r="A6" s="31" t="inlineStr">
        <is>
          <t>Delta Kb = √max(0, WS1² + WS2² + 2ρ·WS1·WS2)</t>
        </is>
      </c>
      <c r="B6" s="21">
        <f>SQRT(MAX(0,$C$2^2+$C$3^2+2*B5*$C$2*$C$3))</f>
        <v/>
      </c>
      <c r="C6" s="21">
        <f>SQRT(MAX(0,$C$2^2+$C$3^2+2*C5*$C$2*$C$3))</f>
        <v/>
      </c>
      <c r="D6" s="21">
        <f>SQRT(MAX(0,$C$2^2+$C$3^2+2*D5*$C$2*$C$3))</f>
        <v/>
      </c>
    </row>
    <row r="7">
      <c r="A7" s="16" t="inlineStr">
        <is>
          <t>Vega total (completed, given)</t>
        </is>
      </c>
      <c r="B7" s="25" t="n">
        <v>1</v>
      </c>
      <c r="C7" s="25" t="n">
        <v>1.2</v>
      </c>
      <c r="D7" s="25" t="n">
        <v>1.5</v>
      </c>
    </row>
    <row r="8">
      <c r="A8" s="16" t="inlineStr">
        <is>
          <t>Curvature total (completed, given)</t>
        </is>
      </c>
      <c r="B8" s="25" t="n">
        <v>0.5</v>
      </c>
      <c r="C8" s="25" t="n">
        <v>0.6</v>
      </c>
      <c r="D8" s="25" t="n">
        <v>0.8</v>
      </c>
    </row>
    <row r="9">
      <c r="A9" s="31" t="inlineStr">
        <is>
          <t>Scenario SBM total</t>
        </is>
      </c>
      <c r="B9" s="28">
        <f>SUM(B6:B8)</f>
        <v/>
      </c>
      <c r="C9" s="28">
        <f>SUM(C6:C8)</f>
        <v/>
      </c>
      <c r="D9" s="28">
        <f>SUM(D6:D8)</f>
        <v/>
      </c>
    </row>
    <row r="10"/>
    <row r="11">
      <c r="A11" s="31" t="inlineStr">
        <is>
          <t>SBM = max of scenario TOTALS</t>
        </is>
      </c>
      <c r="B11" s="21">
        <f>MAX(B9:D9)</f>
        <v/>
      </c>
      <c r="E11" s="22" t="inlineStr">
        <is>
          <t>Never pick each component's max and add them</t>
        </is>
      </c>
    </row>
    <row r="12">
      <c r="A12" s="16" t="inlineStr">
        <is>
          <t>DRC (given)</t>
        </is>
      </c>
      <c r="B12" s="17" t="n">
        <v>2</v>
      </c>
    </row>
    <row r="13">
      <c r="A13" s="16" t="inlineStr">
        <is>
          <t>RRAO (given)</t>
        </is>
      </c>
      <c r="B13" s="17" t="n">
        <v>0.2</v>
      </c>
    </row>
    <row r="14">
      <c r="A14" s="31" t="inlineStr">
        <is>
          <t>KSA = SBM + DRC + RRAO</t>
        </is>
      </c>
      <c r="B14" s="37">
        <f>B11+B12+B13</f>
        <v/>
      </c>
    </row>
    <row r="15">
      <c r="A15" s="31" t="inlineStr">
        <is>
          <t>Market RWA</t>
        </is>
      </c>
      <c r="B15" s="37">
        <f>12.5*B14</f>
        <v/>
      </c>
    </row>
    <row r="16"/>
    <row r="17" ht="38" customHeight="1">
      <c r="A17" s="6" t="inlineStr">
        <is>
          <t>Expected (page): delta 4.0000 / 3.6056 / 3.1623; totals 5.50 / 5.4056 / 5.4623; SBM 5.50; KSA 7.70; RWA 96.25. Lower correlation weakens the hedge.</t>
        </is>
      </c>
    </row>
  </sheetData>
  <mergeCells count="1">
    <mergeCell ref="A17:E17"/>
  </mergeCells>
  <hyperlinks>
    <hyperlink ref="G1" location="'Contents'!A1" display="← Contents"/>
  </hyperlinks>
  <pageMargins left="0.75" right="0.75" top="1" bottom="1" header="0.5" footer="0.5"/>
  <pageSetup orientation="landscape" fitToHeight="0"/>
  <headerFooter>
    <oddHeader>&amp;CBasel Capital Adequacy for Market Risk — Section 18 · Case 3 · Sensitivities-based method — three correlation scenarios</oddHeader>
    <oddFooter>&amp;LThe Mountain Path Academy · https://themountainpathacademy.com&amp;RProf. V. Ravichandran ·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tabColor rgb="FF004D80"/>
    <outlinePr summaryBelow="1" summaryRight="1"/>
    <pageSetUpPr fitToPage="1"/>
  </sheetPr>
  <dimension ref="A1:F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66" customWidth="1" min="3" max="3"/>
    <col width="3" customWidth="1" min="4" max="4"/>
    <col width="14" customWidth="1" min="5" max="5"/>
    <col width="12" customWidth="1" min="6" max="6"/>
  </cols>
  <sheetData>
    <row r="1" ht="24" customHeight="1">
      <c r="A1" s="7" t="inlineStr">
        <is>
          <t>Item</t>
        </is>
      </c>
      <c r="B1" s="7" t="inlineStr">
        <is>
          <t>Value</t>
        </is>
      </c>
      <c r="C1" s="7" t="inlineStr">
        <is>
          <t>Formula / note</t>
        </is>
      </c>
      <c r="E1" s="15" t="inlineStr">
        <is>
          <t>← Contents</t>
        </is>
      </c>
    </row>
    <row r="2" ht="30" customHeight="1">
      <c r="A2" s="16" t="inlineStr">
        <is>
          <t>Notional (long bond)</t>
        </is>
      </c>
      <c r="B2" s="17" t="n">
        <v>100</v>
      </c>
      <c r="E2" s="7" t="inlineStr">
        <is>
          <t>Rating</t>
        </is>
      </c>
      <c r="F2" s="7" t="inlineStr">
        <is>
          <t>DRC weight</t>
        </is>
      </c>
    </row>
    <row r="3">
      <c r="A3" s="16" t="inlineStr">
        <is>
          <t>Supervisory LGD (senior debt)</t>
        </is>
      </c>
      <c r="B3" s="34" t="n">
        <v>0.75</v>
      </c>
      <c r="E3" s="43" t="inlineStr">
        <is>
          <t>AAA</t>
        </is>
      </c>
      <c r="F3" s="32" t="n">
        <v>0.005</v>
      </c>
    </row>
    <row r="4">
      <c r="A4" s="16" t="inlineStr">
        <is>
          <t>Rating</t>
        </is>
      </c>
      <c r="B4" s="44" t="inlineStr">
        <is>
          <t>BBB</t>
        </is>
      </c>
      <c r="E4" s="43" t="inlineStr">
        <is>
          <t>AA</t>
        </is>
      </c>
      <c r="F4" s="32" t="n">
        <v>0.02</v>
      </c>
    </row>
    <row r="5">
      <c r="A5" s="16" t="inlineStr">
        <is>
          <t>Gross JTD = LGD × notional (+ P&amp;L, here 0)</t>
        </is>
      </c>
      <c r="B5" s="26">
        <f>B3*B2</f>
        <v/>
      </c>
      <c r="E5" s="43" t="inlineStr">
        <is>
          <t>A</t>
        </is>
      </c>
      <c r="F5" s="32" t="n">
        <v>0.03</v>
      </c>
    </row>
    <row r="6">
      <c r="A6" s="16" t="inlineStr">
        <is>
          <t>DRC risk weight</t>
        </is>
      </c>
      <c r="B6" s="45">
        <f>VLOOKUP(B4,$E$3:$F$11,2,FALSE)</f>
        <v/>
      </c>
      <c r="C6" s="22" t="inlineStr">
        <is>
          <t>Lookup from the table in E:F</t>
        </is>
      </c>
      <c r="E6" s="43" t="inlineStr">
        <is>
          <t>BBB</t>
        </is>
      </c>
      <c r="F6" s="32" t="n">
        <v>0.06</v>
      </c>
    </row>
    <row r="7">
      <c r="A7" s="31" t="inlineStr">
        <is>
          <t>DRC = weight × JTD</t>
        </is>
      </c>
      <c r="B7" s="37">
        <f>B6*B5</f>
        <v/>
      </c>
      <c r="C7" s="22" t="inlineStr">
        <is>
          <t>Expected 4.50 for BBB (no hedges)</t>
        </is>
      </c>
      <c r="E7" s="43" t="inlineStr">
        <is>
          <t>BB</t>
        </is>
      </c>
      <c r="F7" s="32" t="n">
        <v>0.15</v>
      </c>
    </row>
    <row r="8">
      <c r="E8" s="43" t="inlineStr">
        <is>
          <t>B</t>
        </is>
      </c>
      <c r="F8" s="32" t="n">
        <v>0.3</v>
      </c>
    </row>
    <row r="9" ht="20" customHeight="1">
      <c r="A9" s="24" t="inlineStr">
        <is>
          <t>Residual risk add-on</t>
        </is>
      </c>
      <c r="E9" s="43" t="inlineStr">
        <is>
          <t>CCC</t>
        </is>
      </c>
      <c r="F9" s="32" t="n">
        <v>0.5</v>
      </c>
    </row>
    <row r="10">
      <c r="A10" s="16" t="inlineStr">
        <is>
          <t>Gross notional of eligible instrument</t>
        </is>
      </c>
      <c r="B10" s="17" t="n">
        <v>200</v>
      </c>
      <c r="E10" s="43" t="inlineStr">
        <is>
          <t>Unrated</t>
        </is>
      </c>
      <c r="F10" s="32" t="n">
        <v>0.15</v>
      </c>
    </row>
    <row r="11">
      <c r="A11" s="16" t="inlineStr">
        <is>
          <t>RRAO — other residual risk (0.1%)</t>
        </is>
      </c>
      <c r="B11" s="37">
        <f>0.1%*B10</f>
        <v/>
      </c>
      <c r="C11" s="22" t="inlineStr">
        <is>
          <t>Expected 0.20</t>
        </is>
      </c>
      <c r="E11" s="43" t="inlineStr">
        <is>
          <t>Defaulted</t>
        </is>
      </c>
      <c r="F11" s="32" t="n">
        <v>1</v>
      </c>
    </row>
    <row r="12">
      <c r="A12" s="16" t="inlineStr">
        <is>
          <t>RRAO — exotic underlying (1.0%)</t>
        </is>
      </c>
      <c r="B12" s="37">
        <f>1%*B10</f>
        <v/>
      </c>
      <c r="C12" s="22" t="inlineStr">
        <is>
          <t>Expected 2.00</t>
        </is>
      </c>
    </row>
    <row r="13"/>
    <row r="14" ht="38" customHeight="1">
      <c r="A14" s="6" t="inlineStr">
        <is>
          <t>The 6% is a DRC weight, not the credit-risk SA RWA weight. RRAO is not a charge on every option — check scope and exclusions.</t>
        </is>
      </c>
    </row>
  </sheetData>
  <mergeCells count="2">
    <mergeCell ref="A9:C9"/>
    <mergeCell ref="A14:C14"/>
  </mergeCells>
  <dataValidations count="1">
    <dataValidation sqref="B4" showDropDown="0" showInputMessage="0" showErrorMessage="0" allowBlank="0" type="list">
      <formula1>"AAA,AA,A,BBB,BB,B,CCC,Unrated,Defaulted"</formula1>
    </dataValidation>
  </dataValidations>
  <hyperlinks>
    <hyperlink ref="E1" location="'Contents'!A1" display="← Contents"/>
  </hyperlinks>
  <pageMargins left="0.75" right="0.75" top="1" bottom="1" header="0.5" footer="0.5"/>
  <pageSetup orientation="landscape" fitToHeight="0"/>
  <headerFooter>
    <oddHeader>&amp;CBasel Capital Adequacy for Market Risk — Section 19 · Default risk charge and residual risk add-on</oddHeader>
    <oddFooter>&amp;LThe Mountain Path Academy · https://themountainpathacademy.com&amp;RProf. V. Ravichandran · 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tabColor rgb="FF004D80"/>
    <outlinePr summaryBelow="1" summaryRight="1"/>
    <pageSetUpPr fitToPage="1"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66" customWidth="1" min="3" max="3"/>
    <col width="3" customWidth="1" min="4" max="4"/>
    <col width="14" customWidth="1" min="5" max="5"/>
  </cols>
  <sheetData>
    <row r="1" ht="24" customHeight="1">
      <c r="A1" s="7" t="inlineStr">
        <is>
          <t>Item</t>
        </is>
      </c>
      <c r="B1" s="7" t="inlineStr">
        <is>
          <t>Value</t>
        </is>
      </c>
      <c r="C1" s="7" t="inlineStr">
        <is>
          <t>Formula / note</t>
        </is>
      </c>
      <c r="E1" s="15" t="inlineStr">
        <is>
          <t>← Contents</t>
        </is>
      </c>
    </row>
    <row r="2">
      <c r="A2" s="16" t="inlineStr">
        <is>
          <t>ES full set, current (ES_F,C)</t>
        </is>
      </c>
      <c r="B2" s="17" t="n">
        <v>5</v>
      </c>
      <c r="E2" s="18" t="inlineStr">
        <is>
          <t>Section 20
Stress-calibrated ES</t>
        </is>
      </c>
    </row>
    <row r="3">
      <c r="A3" s="16" t="inlineStr">
        <is>
          <t>ES reduced set, current (ES_R,C)</t>
        </is>
      </c>
      <c r="B3" s="17" t="n">
        <v>4</v>
      </c>
    </row>
    <row r="4">
      <c r="A4" s="16" t="inlineStr">
        <is>
          <t>ES reduced set, stressed (ES_R,S)</t>
        </is>
      </c>
      <c r="B4" s="17" t="n">
        <v>8</v>
      </c>
    </row>
    <row r="5">
      <c r="A5" s="16" t="inlineStr">
        <is>
          <t>Coverage ratio = ES_F,C ÷ ES_R,C</t>
        </is>
      </c>
      <c r="B5" s="28">
        <f>B2/B3</f>
        <v/>
      </c>
    </row>
    <row r="6">
      <c r="A6" s="31" t="inlineStr">
        <is>
          <t>Stressed ES</t>
        </is>
      </c>
      <c r="B6" s="37">
        <f>B4*MAX(B5,1)</f>
        <v/>
      </c>
      <c r="C6" s="22" t="inlineStr">
        <is>
          <t>Expected 10.00</t>
        </is>
      </c>
    </row>
    <row r="7">
      <c r="A7" s="16" t="inlineStr">
        <is>
          <t>Reduced ÷ full (current observation)</t>
        </is>
      </c>
      <c r="B7" s="45">
        <f>B3/B2</f>
        <v/>
      </c>
      <c r="C7" s="22" t="inlineStr">
        <is>
          <t>80% here — the 75% test is an average over 12 weeks, not one observation</t>
        </is>
      </c>
    </row>
    <row r="8"/>
    <row r="9" ht="38" customHeight="1">
      <c r="A9" s="6" t="inlineStr">
        <is>
          <t>Practice (revision Q): ES_R,S = 6, ES_F,C = 4, ES_R,C = 3 → 6 × max(4/3, 1) = 8.00. Intermediate measure — not the final IMA charge.</t>
        </is>
      </c>
    </row>
  </sheetData>
  <mergeCells count="1">
    <mergeCell ref="A9:C9"/>
  </mergeCells>
  <hyperlinks>
    <hyperlink ref="E1" location="'Contents'!A1" display="← Contents"/>
  </hyperlinks>
  <pageMargins left="0.75" right="0.75" top="1" bottom="1" header="0.5" footer="0.5"/>
  <pageSetup orientation="landscape" fitToHeight="0"/>
  <headerFooter>
    <oddHeader>&amp;CBasel Capital Adequacy for Market Risk — Section 20 · Stress-calibrated ES</oddHeader>
    <oddFooter>&amp;LThe Mountain Path Academy · https://themountainpathacademy.com&amp;RProf. V. Ravichandran · 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tabColor rgb="FF004D80"/>
    <outlinePr summaryBelow="1" summaryRight="1"/>
    <pageSetUpPr fitToPage="1"/>
  </sheetPr>
  <dimension ref="A1:F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20" customWidth="1" min="4" max="4"/>
    <col width="3" customWidth="1" min="5" max="5"/>
    <col width="14" customWidth="1" min="6" max="6"/>
  </cols>
  <sheetData>
    <row r="1" ht="24" customHeight="1">
      <c r="A1" s="7" t="inlineStr">
        <is>
          <t>Nested factor set</t>
        </is>
      </c>
      <c r="B1" s="7" t="inlineStr">
        <is>
          <t>Ten-day ES</t>
        </is>
      </c>
      <c r="C1" s="7" t="inlineStr">
        <is>
          <t>Incremental weight</t>
        </is>
      </c>
      <c r="D1" s="7" t="inlineStr">
        <is>
          <t>Contribution to ES²</t>
        </is>
      </c>
      <c r="F1" s="15" t="inlineStr">
        <is>
          <t>← Contents</t>
        </is>
      </c>
    </row>
    <row r="2">
      <c r="A2" s="16" t="inlineStr">
        <is>
          <t>All factors</t>
        </is>
      </c>
      <c r="B2" s="17" t="n">
        <v>3</v>
      </c>
      <c r="C2" s="20" t="n">
        <v>1</v>
      </c>
      <c r="D2" s="28">
        <f>B2^2*C2</f>
        <v/>
      </c>
      <c r="F2" s="18" t="inlineStr">
        <is>
          <t>Section 21 · Lab 2
Liquidity-horizon-adjusted ES</t>
        </is>
      </c>
    </row>
    <row r="3">
      <c r="A3" s="16" t="inlineStr">
        <is>
          <t>LH ≥ 20 days</t>
        </is>
      </c>
      <c r="B3" s="17" t="n">
        <v>2</v>
      </c>
      <c r="C3" s="20" t="n">
        <v>1</v>
      </c>
      <c r="D3" s="28">
        <f>B3^2*C3</f>
        <v/>
      </c>
    </row>
    <row r="4">
      <c r="A4" s="16" t="inlineStr">
        <is>
          <t>LH ≥ 40 days</t>
        </is>
      </c>
      <c r="B4" s="17" t="n">
        <v>1</v>
      </c>
      <c r="C4" s="20" t="n">
        <v>2</v>
      </c>
      <c r="D4" s="28">
        <f>B4^2*C4</f>
        <v/>
      </c>
    </row>
    <row r="5">
      <c r="A5" s="16" t="inlineStr">
        <is>
          <t>LH ≥ 60 days</t>
        </is>
      </c>
      <c r="B5" s="17" t="n">
        <v>0.5</v>
      </c>
      <c r="C5" s="20" t="n">
        <v>2</v>
      </c>
      <c r="D5" s="28">
        <f>B5^2*C5</f>
        <v/>
      </c>
    </row>
    <row r="6">
      <c r="A6" s="16" t="inlineStr">
        <is>
          <t>LH ≥ 120 days</t>
        </is>
      </c>
      <c r="B6" s="17" t="n">
        <v>0.25</v>
      </c>
      <c r="C6" s="20" t="n">
        <v>6</v>
      </c>
      <c r="D6" s="28">
        <f>B6^2*C6</f>
        <v/>
      </c>
    </row>
    <row r="7">
      <c r="A7" s="16" t="inlineStr">
        <is>
          <t>Σ contributions</t>
        </is>
      </c>
      <c r="D7" s="28">
        <f>SUM(D2:D6)</f>
        <v/>
      </c>
    </row>
    <row r="8">
      <c r="A8" s="31" t="inlineStr">
        <is>
          <t>Liquidity-adjusted ES</t>
        </is>
      </c>
      <c r="B8" s="21">
        <f>SQRT(SUMPRODUCT(B2:B6,B2:B6,C2:C6))</f>
        <v/>
      </c>
      <c r="C8" s="22" t="inlineStr">
        <is>
          <t>=SQRT(SUMPRODUCT(B2:B6,B2:B6,C2:C6))</t>
        </is>
      </c>
    </row>
    <row r="9">
      <c r="A9" s="16" t="inlineStr">
        <is>
          <t>Ratio to all-factor ES</t>
        </is>
      </c>
      <c r="B9" s="46">
        <f>B8/B2</f>
        <v/>
      </c>
    </row>
    <row r="10">
      <c r="A10" s="16" t="inlineStr">
        <is>
          <t>Wrong: flat √12 on the whole portfolio</t>
        </is>
      </c>
      <c r="B10" s="28">
        <f>B2*SQRT(12)</f>
        <v/>
      </c>
      <c r="C10" s="22" t="inlineStr">
        <is>
          <t>Treats every risk as a 120-day risk</t>
        </is>
      </c>
    </row>
    <row r="11"/>
    <row r="12" ht="38" customHeight="1">
      <c r="A12" s="6" t="inlineStr">
        <is>
          <t>Weights = (LHj − LHj−1)/10 → 1, 1, 2, 2, 6. Expected (page): ES² = 15.875 → ES_LH = 3.9843. Inputs are nested-subset ES outputs, not asset-level ES to be added.</t>
        </is>
      </c>
    </row>
  </sheetData>
  <mergeCells count="1">
    <mergeCell ref="A12:D12"/>
  </mergeCells>
  <hyperlinks>
    <hyperlink ref="F1" location="'Contents'!A1" display="← Contents"/>
  </hyperlinks>
  <pageMargins left="0.75" right="0.75" top="1" bottom="1" header="0.5" footer="0.5"/>
  <pageSetup orientation="landscape" fitToHeight="0"/>
  <headerFooter>
    <oddHeader>&amp;CBasel Capital Adequacy for Market Risk — Section 21 · Lab 2 · Liquidity-horizon-adjusted ES</oddHeader>
    <oddFooter>&amp;LThe Mountain Path Academy · https://themountainpathacademy.com&amp;RProf. V. Ravichandran · 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tabColor rgb="FF004D80"/>
    <outlinePr summaryBelow="1" summaryRight="1"/>
    <pageSetUpPr fitToPage="1"/>
  </sheetPr>
  <dimension ref="A1:E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66" customWidth="1" min="3" max="3"/>
    <col width="3" customWidth="1" min="4" max="4"/>
    <col width="14" customWidth="1" min="5" max="5"/>
  </cols>
  <sheetData>
    <row r="1" ht="24" customHeight="1">
      <c r="A1" s="7" t="inlineStr">
        <is>
          <t>Item</t>
        </is>
      </c>
      <c r="B1" s="7" t="inlineStr">
        <is>
          <t>Value</t>
        </is>
      </c>
      <c r="C1" s="7" t="inlineStr">
        <is>
          <t>Formula / note</t>
        </is>
      </c>
      <c r="E1" s="15" t="inlineStr">
        <is>
          <t>← Contents</t>
        </is>
      </c>
    </row>
    <row r="2">
      <c r="A2" s="16" t="inlineStr">
        <is>
          <t>Real-price observations in the last 12 months (max one per day)</t>
        </is>
      </c>
      <c r="B2" s="20" t="n">
        <v>30</v>
      </c>
      <c r="E2" s="18" t="inlineStr">
        <is>
          <t>Section 22
Risk-factor eligibility test</t>
        </is>
      </c>
    </row>
    <row r="3">
      <c r="A3" s="16" t="inlineStr">
        <is>
          <t>Fewest observations in any 90-day period</t>
        </is>
      </c>
      <c r="B3" s="20" t="n">
        <v>0</v>
      </c>
      <c r="C3" s="22" t="inlineStr">
        <is>
          <t>Example: 30 obs all in one month → some 90-day period has 0</t>
        </is>
      </c>
    </row>
    <row r="4">
      <c r="A4" s="16" t="inlineStr">
        <is>
          <t>Route 1: ≥24 obs AND ≥4 in every 90-day period</t>
        </is>
      </c>
      <c r="B4" s="47">
        <f>IF(AND(B2&gt;=24,B3&gt;=4),"Pass","Fail")</f>
        <v/>
      </c>
    </row>
    <row r="5">
      <c r="A5" s="16" t="inlineStr">
        <is>
          <t>Route 2: ≥100 obs in 12 months</t>
        </is>
      </c>
      <c r="B5" s="47">
        <f>IF(B2&gt;=100,"Pass","Fail")</f>
        <v/>
      </c>
    </row>
    <row r="6" ht="30" customHeight="1">
      <c r="A6" s="31" t="inlineStr">
        <is>
          <t>Result</t>
        </is>
      </c>
      <c r="B6" s="48">
        <f>IF(OR(B4="Pass",B5="Pass"),"Modellable","Non-modellable — stress-scenario capital (SES)")</f>
        <v/>
      </c>
    </row>
    <row r="7"/>
    <row r="8" ht="38" customHeight="1">
      <c r="A8" s="6" t="inlineStr">
        <is>
          <t>Simplified checker: in practice the 90-day test is applied on rolling windows and data quality, representativeness and bucketing also matter. Interpolated model prices are not real observations.</t>
        </is>
      </c>
    </row>
  </sheetData>
  <mergeCells count="1">
    <mergeCell ref="A8:C8"/>
  </mergeCells>
  <hyperlinks>
    <hyperlink ref="E1" location="'Contents'!A1" display="← Contents"/>
  </hyperlinks>
  <pageMargins left="0.75" right="0.75" top="1" bottom="1" header="0.5" footer="0.5"/>
  <pageSetup orientation="landscape" fitToHeight="0"/>
  <headerFooter>
    <oddHeader>&amp;CBasel Capital Adequacy for Market Risk — Section 22 · Risk-factor eligibility test</oddHeader>
    <oddFooter>&amp;LThe Mountain Path Academy · https://themountainpathacademy.com&amp;RProf. V. Ravichandran · 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tabColor rgb="FF004D80"/>
    <outlinePr summaryBelow="1" summaryRight="1"/>
    <pageSetUpPr fitToPage="1"/>
  </sheetPr>
  <dimension ref="A1:E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66" customWidth="1" min="3" max="3"/>
    <col width="3" customWidth="1" min="4" max="4"/>
    <col width="14" customWidth="1" min="5" max="5"/>
  </cols>
  <sheetData>
    <row r="1" ht="24" customHeight="1">
      <c r="A1" s="7" t="inlineStr">
        <is>
          <t>Item</t>
        </is>
      </c>
      <c r="B1" s="7" t="inlineStr">
        <is>
          <t>Value</t>
        </is>
      </c>
      <c r="C1" s="7" t="inlineStr">
        <is>
          <t>Formula / note</t>
        </is>
      </c>
      <c r="E1" s="15" t="inlineStr">
        <is>
          <t>← Contents</t>
        </is>
      </c>
    </row>
    <row r="2">
      <c r="A2" s="16" t="inlineStr">
        <is>
          <t>99% VaR exceptions, last 12 months</t>
        </is>
      </c>
      <c r="B2" s="20" t="n">
        <v>8</v>
      </c>
      <c r="E2" s="18" t="inlineStr">
        <is>
          <t>Section 23
Desk backtesting and P&amp;L attribution</t>
        </is>
      </c>
    </row>
    <row r="3">
      <c r="A3" s="16" t="inlineStr">
        <is>
          <t>97.5% VaR exceptions, last 12 months</t>
        </is>
      </c>
      <c r="B3" s="20" t="n">
        <v>22</v>
      </c>
    </row>
    <row r="4">
      <c r="A4" s="16" t="inlineStr">
        <is>
          <t>Backtesting result</t>
        </is>
      </c>
      <c r="B4" s="47">
        <f>IF(OR(B2&gt;12,B3&gt;30),"Fail — desk to SA","Pass")</f>
        <v/>
      </c>
    </row>
    <row r="5">
      <c r="A5" s="16" t="inlineStr">
        <is>
          <t>Spearman correlation (RTPL vs HPL)</t>
        </is>
      </c>
      <c r="B5" s="19" t="n">
        <v>0.78</v>
      </c>
    </row>
    <row r="6">
      <c r="A6" s="16" t="inlineStr">
        <is>
          <t>Kolmogorov–Smirnov statistic</t>
        </is>
      </c>
      <c r="B6" s="49" t="n">
        <v>0.08</v>
      </c>
    </row>
    <row r="7">
      <c r="A7" s="16" t="inlineStr">
        <is>
          <t>PLA zone</t>
        </is>
      </c>
      <c r="B7" s="47">
        <f>IF(AND(B5&gt;0.8,B6&lt;0.09),"Green",IF(OR(B5&lt;0.7,B6&gt;0.12),"Red","Amber"))</f>
        <v/>
      </c>
      <c r="C7" s="22" t="inlineStr">
        <is>
          <t>Green: ρ &gt; 0.80 and KS &lt; 0.09 · Red: ρ &lt; 0.70 or KS &gt; 0.12 · else Amber</t>
        </is>
      </c>
    </row>
    <row r="8">
      <c r="A8" s="31" t="inlineStr">
        <is>
          <t>Desk treatment</t>
        </is>
      </c>
      <c r="B8" s="48">
        <f>IF(B4&lt;&gt;"Pass","Standardised approach",IF(B7="Red","Standardised approach",IF(B7="Amber","IMA with capital surcharge","IMA")))</f>
        <v/>
      </c>
    </row>
    <row r="9"/>
    <row r="10" ht="23" customHeight="1">
      <c r="A10" s="6" t="inlineStr">
        <is>
          <t>Passing backtesting alone does not establish PLA eligibility. Re-entry conditions apply after failure.</t>
        </is>
      </c>
    </row>
  </sheetData>
  <mergeCells count="1">
    <mergeCell ref="A10:C10"/>
  </mergeCells>
  <hyperlinks>
    <hyperlink ref="E1" location="'Contents'!A1" display="← Contents"/>
  </hyperlinks>
  <pageMargins left="0.75" right="0.75" top="1" bottom="1" header="0.5" footer="0.5"/>
  <pageSetup orientation="landscape" fitToHeight="0"/>
  <headerFooter>
    <oddHeader>&amp;CBasel Capital Adequacy for Market Risk — Section 23 · Desk backtesting and P&amp;L attribution</oddHeader>
    <oddFooter>&amp;LThe Mountain Path Academy · https://themountainpathacademy.com&amp;RProf. V. Ravichandran · 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tabColor rgb="FF004D80"/>
    <outlinePr summaryBelow="1" summaryRight="1"/>
    <pageSetUpPr fitToPage="1"/>
  </sheetPr>
  <dimension ref="A1:E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66" customWidth="1" min="3" max="3"/>
    <col width="3" customWidth="1" min="4" max="4"/>
    <col width="14" customWidth="1" min="5" max="5"/>
  </cols>
  <sheetData>
    <row r="1" ht="24" customHeight="1">
      <c r="A1" s="7" t="inlineStr">
        <is>
          <t>Item</t>
        </is>
      </c>
      <c r="B1" s="7" t="inlineStr">
        <is>
          <t>Value</t>
        </is>
      </c>
      <c r="C1" s="7" t="inlineStr">
        <is>
          <t>Formula / note</t>
        </is>
      </c>
      <c r="E1" s="15" t="inlineStr">
        <is>
          <t>← Contents</t>
        </is>
      </c>
    </row>
    <row r="2">
      <c r="A2" s="16" t="inlineStr">
        <is>
          <t>IMCC(C) — diversified, all classes</t>
        </is>
      </c>
      <c r="B2" s="17" t="n">
        <v>10</v>
      </c>
      <c r="E2" s="18" t="inlineStr">
        <is>
          <t>Section 24 · Case 5
From ES to total IMA capital</t>
        </is>
      </c>
    </row>
    <row r="3">
      <c r="A3" s="16" t="inlineStr">
        <is>
          <t>Σ IMCC(Ci) — sum of class measures</t>
        </is>
      </c>
      <c r="B3" s="17" t="n">
        <v>14</v>
      </c>
    </row>
    <row r="4">
      <c r="A4" s="16" t="inlineStr">
        <is>
          <t>IMCC = 0.5 × IMCC(C) + 0.5 × Σ IMCC(Ci)</t>
        </is>
      </c>
      <c r="B4" s="26">
        <f>0.5*B2+0.5*B3</f>
        <v/>
      </c>
      <c r="C4" s="22" t="inlineStr">
        <is>
          <t>Expected 12.00</t>
        </is>
      </c>
    </row>
    <row r="5">
      <c r="A5" s="16" t="inlineStr">
        <is>
          <t>Latest IMCC</t>
        </is>
      </c>
      <c r="B5" s="26">
        <f>B4</f>
        <v/>
      </c>
    </row>
    <row r="6">
      <c r="A6" s="16" t="inlineStr">
        <is>
          <t>Latest SES (NMRF)</t>
        </is>
      </c>
      <c r="B6" s="17" t="n">
        <v>2</v>
      </c>
    </row>
    <row r="7">
      <c r="A7" s="16" t="inlineStr">
        <is>
          <t>60-day average IMCC</t>
        </is>
      </c>
      <c r="B7" s="17" t="n">
        <v>11</v>
      </c>
    </row>
    <row r="8">
      <c r="A8" s="16" t="inlineStr">
        <is>
          <t>60-day average SES</t>
        </is>
      </c>
      <c r="B8" s="17" t="n">
        <v>1.8</v>
      </c>
    </row>
    <row r="9">
      <c r="A9" s="16" t="inlineStr">
        <is>
          <t>Multiplier mc</t>
        </is>
      </c>
      <c r="B9" s="19" t="n">
        <v>1.5</v>
      </c>
    </row>
    <row r="10">
      <c r="A10" s="31" t="inlineStr">
        <is>
          <t>C_A = max(latest IMCC + SES, mc × avg IMCC + avg SES)</t>
        </is>
      </c>
      <c r="B10" s="37">
        <f>MAX(B5+B6,B9*B7+B8)</f>
        <v/>
      </c>
      <c r="C10" s="22" t="inlineStr">
        <is>
          <t>Expected max(14, 18.30) = 18.30 — mc does not multiply SES</t>
        </is>
      </c>
    </row>
    <row r="11">
      <c r="A11" s="16" t="inlineStr">
        <is>
          <t>IMA DRC latest</t>
        </is>
      </c>
      <c r="B11" s="17" t="n">
        <v>3</v>
      </c>
    </row>
    <row r="12">
      <c r="A12" s="16" t="inlineStr">
        <is>
          <t>IMA DRC 12-week average</t>
        </is>
      </c>
      <c r="B12" s="17" t="n">
        <v>2.8</v>
      </c>
    </row>
    <row r="13">
      <c r="A13" s="16" t="inlineStr">
        <is>
          <t>IMA DRC = max(latest, average)</t>
        </is>
      </c>
      <c r="B13" s="26">
        <f>MAX(B11,B12)</f>
        <v/>
      </c>
    </row>
    <row r="14">
      <c r="A14" s="16" t="inlineStr">
        <is>
          <t>Model-ineligible desks: SA charge C_U</t>
        </is>
      </c>
      <c r="B14" s="17" t="n">
        <v>4</v>
      </c>
    </row>
    <row r="15">
      <c r="A15" s="16" t="inlineStr">
        <is>
          <t>Amber-desk surcharge (if any)</t>
        </is>
      </c>
      <c r="B15" s="17" t="n">
        <v>0</v>
      </c>
    </row>
    <row r="16">
      <c r="A16" s="31" t="inlineStr">
        <is>
          <t>Total market capital</t>
        </is>
      </c>
      <c r="B16" s="37">
        <f>B10+B13+B14+B15</f>
        <v/>
      </c>
      <c r="C16" s="22" t="inlineStr">
        <is>
          <t>Expected 25.30</t>
        </is>
      </c>
    </row>
    <row r="17">
      <c r="A17" s="31" t="inlineStr">
        <is>
          <t>Market RWA</t>
        </is>
      </c>
      <c r="B17" s="37">
        <f>12.5*B16</f>
        <v/>
      </c>
      <c r="C17" s="22" t="inlineStr">
        <is>
          <t>Expected 316.25</t>
        </is>
      </c>
    </row>
  </sheetData>
  <hyperlinks>
    <hyperlink ref="E1" location="'Contents'!A1" display="← Contents"/>
  </hyperlinks>
  <pageMargins left="0.75" right="0.75" top="1" bottom="1" header="0.5" footer="0.5"/>
  <pageSetup orientation="landscape" fitToHeight="0"/>
  <headerFooter>
    <oddHeader>&amp;CBasel Capital Adequacy for Market Risk — Section 24 · Case 5 · From ES to total IMA capital</oddHeader>
    <oddFooter>&amp;LThe Mountain Path Academy · https://themountainpathacademy.com&amp;RProf. V. Ravichandran · 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tabColor rgb="FF004D80"/>
    <outlinePr summaryBelow="1" summaryRight="1"/>
    <pageSetUpPr fitToPage="1"/>
  </sheetPr>
  <dimension ref="A1:E2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66" customWidth="1" min="3" max="3"/>
    <col width="3" customWidth="1" min="4" max="4"/>
    <col width="14" customWidth="1" min="5" max="5"/>
  </cols>
  <sheetData>
    <row r="1" ht="24" customHeight="1">
      <c r="A1" s="7" t="inlineStr">
        <is>
          <t>Item</t>
        </is>
      </c>
      <c r="B1" s="7" t="inlineStr">
        <is>
          <t>Value</t>
        </is>
      </c>
      <c r="C1" s="7" t="inlineStr">
        <is>
          <t>Formula / note</t>
        </is>
      </c>
      <c r="E1" s="15" t="inlineStr">
        <is>
          <t>← Contents</t>
        </is>
      </c>
    </row>
    <row r="2">
      <c r="A2" s="16" t="inlineStr">
        <is>
          <t>Market-risk capital charge</t>
        </is>
      </c>
      <c r="B2" s="17" t="n">
        <v>8</v>
      </c>
      <c r="E2" s="18" t="inlineStr">
        <is>
          <t>Section 25 · Lab 3
Market RWA and the three capital ratios</t>
        </is>
      </c>
    </row>
    <row r="3">
      <c r="A3" s="16" t="inlineStr">
        <is>
          <t>Credit / CVA RWA</t>
        </is>
      </c>
      <c r="B3" s="17" t="n">
        <v>800</v>
      </c>
    </row>
    <row r="4">
      <c r="A4" s="16" t="inlineStr">
        <is>
          <t>Operational RWA</t>
        </is>
      </c>
      <c r="B4" s="17" t="n">
        <v>100</v>
      </c>
    </row>
    <row r="5">
      <c r="A5" s="16" t="inlineStr">
        <is>
          <t>CET1</t>
        </is>
      </c>
      <c r="B5" s="17" t="n">
        <v>80</v>
      </c>
    </row>
    <row r="6">
      <c r="A6" s="16" t="inlineStr">
        <is>
          <t>AT1</t>
        </is>
      </c>
      <c r="B6" s="17" t="n">
        <v>15</v>
      </c>
    </row>
    <row r="7">
      <c r="A7" s="16" t="inlineStr">
        <is>
          <t>Tier 2</t>
        </is>
      </c>
      <c r="B7" s="17" t="n">
        <v>20</v>
      </c>
    </row>
    <row r="8"/>
    <row r="9">
      <c r="A9" s="16" t="inlineStr">
        <is>
          <t>Market RWA = 12.5 × charge</t>
        </is>
      </c>
      <c r="B9" s="26">
        <f>12.5*B2</f>
        <v/>
      </c>
      <c r="C9" s="22" t="inlineStr">
        <is>
          <t>=12.5*B2   (12.5 = 1 ÷ 8%, not 1 ÷ 9% ≈ 11.11)</t>
        </is>
      </c>
    </row>
    <row r="10">
      <c r="A10" s="31" t="inlineStr">
        <is>
          <t>Total RWA</t>
        </is>
      </c>
      <c r="B10" s="37">
        <f>B3+B4+B9</f>
        <v/>
      </c>
      <c r="C10" s="22" t="inlineStr">
        <is>
          <t>=B3+B4+B9</t>
        </is>
      </c>
    </row>
    <row r="11">
      <c r="A11" s="31" t="inlineStr">
        <is>
          <t>CET1 ratio</t>
        </is>
      </c>
      <c r="B11" s="50">
        <f>B5/B10</f>
        <v/>
      </c>
      <c r="C11" s="22" t="inlineStr">
        <is>
          <t>=B5/B10</t>
        </is>
      </c>
    </row>
    <row r="12">
      <c r="A12" s="31" t="inlineStr">
        <is>
          <t>Tier 1 ratio</t>
        </is>
      </c>
      <c r="B12" s="50">
        <f>(B5+B6)/B10</f>
        <v/>
      </c>
      <c r="C12" s="22" t="inlineStr">
        <is>
          <t>=(B5+B6)/B10</t>
        </is>
      </c>
    </row>
    <row r="13">
      <c r="A13" s="31" t="inlineStr">
        <is>
          <t>Total capital ratio</t>
        </is>
      </c>
      <c r="B13" s="50">
        <f>SUM(B5:B7)/B10</f>
        <v/>
      </c>
      <c r="C13" s="22" t="inlineStr">
        <is>
          <t>=SUM(B5:B7)/B10</t>
        </is>
      </c>
    </row>
    <row r="14">
      <c r="A14" s="16" t="inlineStr">
        <is>
          <t>Threshold set (RBI or Basel)</t>
        </is>
      </c>
      <c r="B14" s="44" t="inlineStr">
        <is>
          <t>RBI</t>
        </is>
      </c>
      <c r="C14" s="22" t="inlineStr">
        <is>
          <t>Lab 3 selector — drives B15:B17</t>
        </is>
      </c>
    </row>
    <row r="15">
      <c r="A15" s="16" t="inlineStr">
        <is>
          <t>CET1 target incl. full CCB</t>
        </is>
      </c>
      <c r="B15" s="30">
        <f>IF(B14="Basel",7%,8%)</f>
        <v/>
      </c>
    </row>
    <row r="16">
      <c r="A16" s="16" t="inlineStr">
        <is>
          <t>Tier 1 target incl. full CCB</t>
        </is>
      </c>
      <c r="B16" s="30">
        <f>IF(B14="Basel",8.5%,9.5%)</f>
        <v/>
      </c>
    </row>
    <row r="17">
      <c r="A17" s="16" t="inlineStr">
        <is>
          <t>Total target incl. full CCB</t>
        </is>
      </c>
      <c r="B17" s="30">
        <f>IF(B14="Basel",10.5%,11.5%)</f>
        <v/>
      </c>
    </row>
    <row r="18"/>
    <row r="19">
      <c r="A19" s="31" t="inlineStr">
        <is>
          <t>Additional CET1 alone (all three)</t>
        </is>
      </c>
      <c r="B19" s="37">
        <f>MAX(0,B15*B10-B5,B16*B10-SUM(B5:B6),B17*B10-SUM(B5:B7))</f>
        <v/>
      </c>
      <c r="C19" s="22" t="inlineStr">
        <is>
          <t>=MAX(0,B15*B10-B5,B16*B10-SUM(B5:B6),B17*B10-SUM(B5:B7))</t>
        </is>
      </c>
    </row>
    <row r="20"/>
    <row r="21" ht="20" customHeight="1">
      <c r="A21" s="24" t="inlineStr">
        <is>
          <t>Qualifying mix</t>
        </is>
      </c>
    </row>
    <row r="22">
      <c r="A22" s="16" t="inlineStr">
        <is>
          <t>CET1 shortfall</t>
        </is>
      </c>
      <c r="B22" s="26">
        <f>MAX(0,B15*B10-B5)</f>
        <v/>
      </c>
    </row>
    <row r="23">
      <c r="A23" s="16" t="inlineStr">
        <is>
          <t>AT1 (or more CET1)</t>
        </is>
      </c>
      <c r="B23" s="26">
        <f>MAX(0,B16*B10-SUM(B5:B6)-B22)</f>
        <v/>
      </c>
    </row>
    <row r="24">
      <c r="A24" s="16" t="inlineStr">
        <is>
          <t>Tier 2</t>
        </is>
      </c>
      <c r="B24" s="26">
        <f>MAX(0,B17*B10-SUM(B5:B7)-B22-B23)</f>
        <v/>
      </c>
    </row>
    <row r="25">
      <c r="A25" s="16" t="inlineStr">
        <is>
          <t>Status</t>
        </is>
      </c>
      <c r="B25" s="47">
        <f>IF(B19=0,"Meets all three selected thresholds","Shortfall — add "&amp;TEXT(B19,"0.00")&amp;" crore CET1 or the mix above")</f>
        <v/>
      </c>
    </row>
    <row r="26"/>
    <row r="27" ht="50" customHeight="1">
      <c r="A27" s="6" t="inlineStr">
        <is>
          <t>Base (page): 1,000.00 · 8.00% · 9.50% · 11.50% · 0.00. Stress: set B2 = 12 → 1,050.00 · 7.62% · 9.05% · 10.95% · 5.75 (mix 4.00 + 0.75 + 1.00). Section 30 lists B15:B17 as typed inputs; here they follow the RBI/Basel selector in B14 — overwrite them to type your own. Excludes D-SIB, countercyclical, Pillar 2, LR and floor effects.</t>
        </is>
      </c>
    </row>
  </sheetData>
  <mergeCells count="2">
    <mergeCell ref="A27:C27"/>
    <mergeCell ref="A21:C21"/>
  </mergeCells>
  <dataValidations count="1">
    <dataValidation sqref="B14" showDropDown="0" showInputMessage="0" showErrorMessage="0" allowBlank="0" type="list">
      <formula1>"RBI,Basel"</formula1>
    </dataValidation>
  </dataValidations>
  <hyperlinks>
    <hyperlink ref="E1" location="'Contents'!A1" display="← Contents"/>
  </hyperlinks>
  <pageMargins left="0.75" right="0.75" top="1" bottom="1" header="0.5" footer="0.5"/>
  <pageSetup orientation="landscape" fitToHeight="0"/>
  <headerFooter>
    <oddHeader>&amp;CBasel Capital Adequacy for Market Risk — Section 25 · Lab 3 · Market RWA and the three capital ratios</oddHeader>
    <oddFooter>&amp;LThe Mountain Path Academy · https://themountainpathacademy.com&amp;RProf. V. Ravichandran · 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tabColor rgb="FF004D80"/>
    <outlinePr summaryBelow="1" summaryRight="1"/>
    <pageSetUpPr fitToPage="1"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66" customWidth="1" min="3" max="3"/>
    <col width="3" customWidth="1" min="4" max="4"/>
    <col width="14" customWidth="1" min="5" max="5"/>
  </cols>
  <sheetData>
    <row r="1" ht="24" customHeight="1">
      <c r="A1" s="7" t="inlineStr">
        <is>
          <t>Item</t>
        </is>
      </c>
      <c r="B1" s="7" t="inlineStr">
        <is>
          <t>Value</t>
        </is>
      </c>
      <c r="C1" s="7" t="inlineStr">
        <is>
          <t>Formula / note</t>
        </is>
      </c>
      <c r="E1" s="15" t="inlineStr">
        <is>
          <t>← Contents</t>
        </is>
      </c>
    </row>
    <row r="2">
      <c r="A2" s="16" t="inlineStr">
        <is>
          <t>Model-based total RWA</t>
        </is>
      </c>
      <c r="B2" s="17" t="n">
        <v>1000</v>
      </c>
      <c r="E2" s="18" t="inlineStr">
        <is>
          <t>Section 26
Buffers and the output floor</t>
        </is>
      </c>
    </row>
    <row r="3">
      <c r="A3" s="16" t="inlineStr">
        <is>
          <t>Relevant standardised total RWA</t>
        </is>
      </c>
      <c r="B3" s="17" t="n">
        <v>1500</v>
      </c>
    </row>
    <row r="4">
      <c r="A4" s="16" t="inlineStr">
        <is>
          <t>Floor percentage (fully phased)</t>
        </is>
      </c>
      <c r="B4" s="32" t="n">
        <v>0.725</v>
      </c>
    </row>
    <row r="5">
      <c r="A5" s="31" t="inlineStr">
        <is>
          <t>Floored RWA</t>
        </is>
      </c>
      <c r="B5" s="37">
        <f>MAX(B2,B4*B3)</f>
        <v/>
      </c>
      <c r="C5" s="22" t="inlineStr">
        <is>
          <t>Expected 1,087.50</t>
        </is>
      </c>
    </row>
    <row r="6">
      <c r="A6" s="16" t="inlineStr">
        <is>
          <t>Total capital ratio incl. full CCB (Basel)</t>
        </is>
      </c>
      <c r="B6" s="32" t="n">
        <v>0.105</v>
      </c>
    </row>
    <row r="7">
      <c r="A7" s="31" t="inlineStr">
        <is>
          <t>Baseline total capital required</t>
        </is>
      </c>
      <c r="B7" s="37">
        <f>B6*B5</f>
        <v/>
      </c>
      <c r="C7" s="22" t="inlineStr">
        <is>
          <t>Expected 114.19</t>
        </is>
      </c>
    </row>
    <row r="8"/>
    <row r="9" ht="38" customHeight="1">
      <c r="A9" s="6" t="inlineStr">
        <is>
          <t>The floor operates at aggregate level — never apply a standalone 72.5% floor to each desk. Check domestic adoption and transition.</t>
        </is>
      </c>
    </row>
  </sheetData>
  <mergeCells count="1">
    <mergeCell ref="A9:C9"/>
  </mergeCells>
  <hyperlinks>
    <hyperlink ref="E1" location="'Contents'!A1" display="← Contents"/>
  </hyperlinks>
  <pageMargins left="0.75" right="0.75" top="1" bottom="1" header="0.5" footer="0.5"/>
  <pageSetup orientation="landscape" fitToHeight="0"/>
  <headerFooter>
    <oddHeader>&amp;CBasel Capital Adequacy for Market Risk — Section 26 · Buffers and the output floor</oddHeader>
    <oddFooter>&amp;LThe Mountain Path Academy · https://themountainpathacademy.com&amp;RProf. V. Ravichandran ·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2026-11-02T10:08:06Z</dcterms:created>
  <dcterms:modified xmlns:dcterms="http://purl.org/dc/terms/" xmlns:xsi="http://www.w3.org/2001/XMLSchema-instance" xsi:type="dcterms:W3CDTF">2026-11-02T10:08:06Z</dcterms:modified>
</cp:coreProperties>
</file>