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defaultThemeVersion="202300"/>
  <mc:AlternateContent xmlns:mc="http://schemas.openxmlformats.org/markup-compatibility/2006">
    <mc:Choice Requires="x15">
      <x15ac:absPath xmlns:x15ac="http://schemas.microsoft.com/office/spreadsheetml/2010/11/ac" url="/Users/trichyravis/Library/Mobile Documents/com~apple~CloudDocs/01. Ravis Academics/16. BITs Hyderabad/0A. Courses/05. Financial Risk Management/03. Lecture Session Materials/09. Session No 9 (3rd Oct 2026)/"/>
    </mc:Choice>
  </mc:AlternateContent>
  <xr:revisionPtr revIDLastSave="0" documentId="8_{4ACE49BC-CF9D-8244-B486-CA0E3F1C4169}" xr6:coauthVersionLast="47" xr6:coauthVersionMax="47" xr10:uidLastSave="{00000000-0000-0000-0000-000000000000}"/>
  <bookViews>
    <workbookView xWindow="0" yWindow="0" windowWidth="38400" windowHeight="21600" xr2:uid="{CBF1E840-47BF-C744-8E89-BE55B48BE6B6}"/>
  </bookViews>
  <sheets>
    <sheet name="Simple Credit VaR" sheetId="1" r:id="rId1"/>
    <sheet name="Credit VaR Examples" sheetId="2" r:id="rId2"/>
    <sheet name="Credit VaR &amp; WCDR Q&amp;A" sheetId="3" r:id="rId3"/>
    <sheet name="Adjusted Exposure Examples" sheetId="4" r:id="rId4"/>
  </sheets>
  <externalReferences>
    <externalReference r:id="rId5"/>
  </externalReferences>
  <definedNames>
    <definedName name="Matrix_A">#REF!</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66" i="4" l="1"/>
  <c r="C66" i="4"/>
  <c r="E51" i="4"/>
  <c r="D51" i="4"/>
  <c r="G50" i="4"/>
  <c r="H56" i="4" s="1"/>
  <c r="F50" i="4"/>
  <c r="G49" i="4"/>
  <c r="H49" i="4" s="1"/>
  <c r="F49" i="4"/>
  <c r="G48" i="4"/>
  <c r="H48" i="4" s="1"/>
  <c r="F48" i="4"/>
  <c r="F51" i="4" s="1"/>
  <c r="H47" i="4"/>
  <c r="G47" i="4"/>
  <c r="F47" i="4"/>
  <c r="H37" i="4"/>
  <c r="H38" i="4" s="1"/>
  <c r="B35" i="4"/>
  <c r="H27" i="4"/>
  <c r="H28" i="4" s="1"/>
  <c r="C27" i="4"/>
  <c r="B25" i="4"/>
  <c r="F95" i="3"/>
  <c r="E95" i="3"/>
  <c r="C95" i="3"/>
  <c r="D95" i="3" s="1"/>
  <c r="E94" i="3"/>
  <c r="B94" i="3"/>
  <c r="D74" i="3"/>
  <c r="E74" i="3" s="1"/>
  <c r="F74" i="3" s="1"/>
  <c r="G74" i="3" s="1"/>
  <c r="C74" i="3"/>
  <c r="E73" i="3"/>
  <c r="F73" i="3" s="1"/>
  <c r="G73" i="3" s="1"/>
  <c r="D73" i="3"/>
  <c r="C73" i="3"/>
  <c r="E72" i="3"/>
  <c r="F72" i="3" s="1"/>
  <c r="G72" i="3" s="1"/>
  <c r="D72" i="3"/>
  <c r="C72" i="3"/>
  <c r="D71" i="3"/>
  <c r="E71" i="3" s="1"/>
  <c r="F71" i="3" s="1"/>
  <c r="G71" i="3" s="1"/>
  <c r="C71" i="3"/>
  <c r="D70" i="3"/>
  <c r="E70" i="3" s="1"/>
  <c r="C70" i="3"/>
  <c r="F65" i="3"/>
  <c r="E65" i="3"/>
  <c r="G65" i="3" s="1"/>
  <c r="D65" i="3"/>
  <c r="C65" i="3"/>
  <c r="F64" i="3"/>
  <c r="C64" i="3"/>
  <c r="E64" i="3" s="1"/>
  <c r="G64" i="3" s="1"/>
  <c r="G63" i="3"/>
  <c r="F63" i="3"/>
  <c r="E63" i="3"/>
  <c r="D63" i="3"/>
  <c r="C63" i="3"/>
  <c r="F62" i="3"/>
  <c r="E62" i="3"/>
  <c r="G62" i="3" s="1"/>
  <c r="D62" i="3"/>
  <c r="C62" i="3"/>
  <c r="F61" i="3"/>
  <c r="C61" i="3"/>
  <c r="E61" i="3" s="1"/>
  <c r="G61" i="3" s="1"/>
  <c r="F60" i="3"/>
  <c r="C60" i="3"/>
  <c r="E60" i="3" s="1"/>
  <c r="G60" i="3" s="1"/>
  <c r="F59" i="3"/>
  <c r="C59" i="3"/>
  <c r="H52" i="3"/>
  <c r="C52" i="3"/>
  <c r="H44" i="3"/>
  <c r="H41" i="3"/>
  <c r="C41" i="3"/>
  <c r="H39" i="3"/>
  <c r="C39" i="3"/>
  <c r="H38" i="3"/>
  <c r="C38" i="3"/>
  <c r="H37" i="3"/>
  <c r="C40" i="3" s="1"/>
  <c r="C37" i="3"/>
  <c r="G31" i="3"/>
  <c r="B31" i="3"/>
  <c r="E31" i="3" s="1"/>
  <c r="G30" i="3"/>
  <c r="E30" i="3"/>
  <c r="G29" i="3"/>
  <c r="E29" i="3"/>
  <c r="G28" i="3"/>
  <c r="E28" i="3"/>
  <c r="G27" i="3"/>
  <c r="E27" i="3"/>
  <c r="G26" i="3"/>
  <c r="B32" i="3" s="1"/>
  <c r="E26" i="3"/>
  <c r="G72" i="2"/>
  <c r="G73" i="2" s="1"/>
  <c r="G74" i="2" s="1"/>
  <c r="F72" i="2"/>
  <c r="G71" i="2"/>
  <c r="F71" i="2"/>
  <c r="F73" i="2" s="1"/>
  <c r="F74" i="2" s="1"/>
  <c r="G69" i="2"/>
  <c r="G75" i="2" s="1"/>
  <c r="F69" i="2"/>
  <c r="F76" i="2" s="1"/>
  <c r="H62" i="2"/>
  <c r="H59" i="2"/>
  <c r="E56" i="2"/>
  <c r="C56" i="2"/>
  <c r="E55" i="2"/>
  <c r="C55" i="2"/>
  <c r="E54" i="2"/>
  <c r="C54" i="2"/>
  <c r="E53" i="2"/>
  <c r="C53" i="2"/>
  <c r="E52" i="2"/>
  <c r="C52" i="2"/>
  <c r="E51" i="2"/>
  <c r="C51" i="2"/>
  <c r="E50" i="2"/>
  <c r="C50" i="2"/>
  <c r="E49" i="2"/>
  <c r="C49" i="2"/>
  <c r="E48" i="2"/>
  <c r="C48" i="2"/>
  <c r="D48" i="2" s="1"/>
  <c r="H33" i="2"/>
  <c r="H34" i="2" s="1"/>
  <c r="H31" i="2"/>
  <c r="H32" i="2" s="1"/>
  <c r="B35" i="2" s="1"/>
  <c r="B29" i="2"/>
  <c r="D16" i="2"/>
  <c r="C16" i="2"/>
  <c r="H19" i="2" s="1"/>
  <c r="E15" i="2"/>
  <c r="E16" i="2" s="1"/>
  <c r="C15" i="2"/>
  <c r="H57" i="1"/>
  <c r="H53" i="1"/>
  <c r="H54" i="1" s="1"/>
  <c r="H55" i="1" s="1"/>
  <c r="H52" i="1"/>
  <c r="H51" i="1"/>
  <c r="E29" i="1"/>
  <c r="E28" i="1"/>
  <c r="E27" i="1"/>
  <c r="F26" i="1"/>
  <c r="E26" i="1"/>
  <c r="E25" i="1"/>
  <c r="G25" i="1" s="1"/>
  <c r="H20" i="1"/>
  <c r="C20" i="1"/>
  <c r="H19" i="1"/>
  <c r="H35" i="1" s="1"/>
  <c r="C19" i="1"/>
  <c r="C29" i="4" l="1"/>
  <c r="H29" i="4"/>
  <c r="H36" i="1"/>
  <c r="G26" i="1"/>
  <c r="G27" i="1" s="1"/>
  <c r="G28" i="1" s="1"/>
  <c r="H56" i="1"/>
  <c r="B59" i="1"/>
  <c r="H58" i="1"/>
  <c r="H39" i="4"/>
  <c r="C39" i="4"/>
  <c r="F70" i="3"/>
  <c r="G70" i="3" s="1"/>
  <c r="B75" i="3"/>
  <c r="H60" i="2"/>
  <c r="D49" i="2"/>
  <c r="D50" i="2" s="1"/>
  <c r="D51" i="2" s="1"/>
  <c r="D52" i="2" s="1"/>
  <c r="D53" i="2" s="1"/>
  <c r="D54" i="2" s="1"/>
  <c r="D55" i="2" s="1"/>
  <c r="D56" i="2" s="1"/>
  <c r="G76" i="2"/>
  <c r="G77" i="2" s="1"/>
  <c r="H40" i="3"/>
  <c r="D60" i="3"/>
  <c r="C94" i="3"/>
  <c r="H50" i="4"/>
  <c r="H51" i="4" s="1"/>
  <c r="H20" i="2"/>
  <c r="H21" i="2" s="1"/>
  <c r="F28" i="1"/>
  <c r="H22" i="2"/>
  <c r="H23" i="2" s="1"/>
  <c r="D59" i="3"/>
  <c r="E59" i="3"/>
  <c r="G59" i="3" s="1"/>
  <c r="B66" i="3" s="1"/>
  <c r="D64" i="3"/>
  <c r="C28" i="4"/>
  <c r="F75" i="2"/>
  <c r="F77" i="2" s="1"/>
  <c r="F27" i="1"/>
  <c r="H34" i="1" s="1"/>
  <c r="D61" i="3"/>
  <c r="C38" i="4"/>
  <c r="H54" i="4"/>
  <c r="H55" i="4" l="1"/>
  <c r="C55" i="4"/>
  <c r="B78" i="2"/>
  <c r="F94" i="3"/>
  <c r="B96" i="3" s="1"/>
  <c r="D94" i="3"/>
  <c r="H67" i="4"/>
  <c r="H57" i="4"/>
  <c r="C67" i="4"/>
  <c r="C57" i="4"/>
  <c r="H42" i="3"/>
  <c r="C42" i="3"/>
  <c r="B42" i="4"/>
  <c r="H40" i="4"/>
  <c r="C40" i="4"/>
  <c r="H41" i="4"/>
  <c r="H30" i="4"/>
  <c r="B31" i="4" s="1"/>
  <c r="C30" i="4"/>
  <c r="B63" i="2"/>
  <c r="H61" i="2"/>
  <c r="H37" i="1"/>
  <c r="B38" i="1" s="1"/>
  <c r="B24" i="2"/>
  <c r="H43" i="3" l="1"/>
  <c r="C43" i="3"/>
  <c r="B45" i="3"/>
  <c r="H59" i="4"/>
  <c r="B60" i="4" s="1"/>
  <c r="H68" i="4"/>
  <c r="H69" i="4" s="1"/>
  <c r="H58" i="4"/>
  <c r="C68" i="4"/>
  <c r="C58" i="4"/>
  <c r="H51" i="3" l="1"/>
  <c r="H83" i="3"/>
  <c r="B46" i="3"/>
  <c r="C83" i="3"/>
  <c r="C51" i="3"/>
  <c r="B70" i="4"/>
  <c r="H84" i="3" l="1"/>
  <c r="C84" i="3"/>
  <c r="C53" i="3"/>
  <c r="B55" i="3"/>
  <c r="H53" i="3"/>
  <c r="H54" i="3" s="1"/>
  <c r="H86" i="3" l="1"/>
  <c r="H85" i="3"/>
  <c r="B87" i="3"/>
</calcChain>
</file>

<file path=xl/sharedStrings.xml><?xml version="1.0" encoding="utf-8"?>
<sst xmlns="http://schemas.openxmlformats.org/spreadsheetml/2006/main" count="395" uniqueCount="254">
  <si>
    <t>Simple Illustration – Credit VaR</t>
  </si>
  <si>
    <t>How much could a bank lose on its loans in a bad year?   |   The Mountain Path Academy</t>
  </si>
  <si>
    <t>The Problem</t>
  </si>
  <si>
    <t>Credit VaR is the loss on a loan book that will NOT be exceeded at a chosen confidence level (e.g. 99%) over one year, minus the expected loss. Expected loss is covered by pricing and provisions; Credit VaR (the unexpected loss) must be covered by capital. Part A uses a tiny 2-loan book so every outcome can be listed. Part B uses the Basel/Vasicek formula for a large book.</t>
  </si>
  <si>
    <t>Part A – Two-loan portfolio: Inputs</t>
  </si>
  <si>
    <t>Item</t>
  </si>
  <si>
    <t>Value</t>
  </si>
  <si>
    <t>Unit</t>
  </si>
  <si>
    <t>Loan A exposure</t>
  </si>
  <si>
    <t>₹ crore</t>
  </si>
  <si>
    <t>Loan A 1-year PD</t>
  </si>
  <si>
    <t>1 year</t>
  </si>
  <si>
    <t>Loan B exposure</t>
  </si>
  <si>
    <t>Loan B 1-year PD</t>
  </si>
  <si>
    <t>Recovery rate (both loans)</t>
  </si>
  <si>
    <t>% of exposure</t>
  </si>
  <si>
    <t>Confidence level</t>
  </si>
  <si>
    <t>Step 1 – Loss if each loan defaults</t>
  </si>
  <si>
    <t>Loss given default = Exposure × (1 − RR)</t>
  </si>
  <si>
    <t>Working</t>
  </si>
  <si>
    <t>Loss if Loan A defaults</t>
  </si>
  <si>
    <t>Loss if Loan B defaults</t>
  </si>
  <si>
    <t>Step 2 – List every outcome (loans default independently)</t>
  </si>
  <si>
    <t>Probability of an outcome = product of each loan's probability (PD if it defaults, 1 − PD if it survives)</t>
  </si>
  <si>
    <t>Outcome (smallest loss first)</t>
  </si>
  <si>
    <t>Loan A</t>
  </si>
  <si>
    <t>Loan B</t>
  </si>
  <si>
    <t>Probability</t>
  </si>
  <si>
    <t>Loss</t>
  </si>
  <si>
    <t>Cumulative probability</t>
  </si>
  <si>
    <t>No default</t>
  </si>
  <si>
    <t>Survives</t>
  </si>
  <si>
    <t>Only Loan B defaults</t>
  </si>
  <si>
    <t>Defaults</t>
  </si>
  <si>
    <t>Only Loan A defaults</t>
  </si>
  <si>
    <t>Both default</t>
  </si>
  <si>
    <t>Total probability</t>
  </si>
  <si>
    <t>Step 3 – Expected loss, VaR and Credit VaR</t>
  </si>
  <si>
    <t>EL = Σ Probability × Loss        VaR = smallest loss whose cumulative probability ≥ confidence        Credit VaR = VaR − EL</t>
  </si>
  <si>
    <t>Expected loss (EL)</t>
  </si>
  <si>
    <t>Σ Probability × Loss</t>
  </si>
  <si>
    <t>Check: EL = PD(A) × Loss A + PD(B) × Loss B</t>
  </si>
  <si>
    <t>Short-cut gives the same EL</t>
  </si>
  <si>
    <t>Loss at confidence level (VaR)</t>
  </si>
  <si>
    <t>First cumulative probability ≥ confidence</t>
  </si>
  <si>
    <t>Credit VaR (unexpected loss)</t>
  </si>
  <si>
    <t>VaR − EL</t>
  </si>
  <si>
    <t>Part B – Large loan book: Basel / Vasicek formula</t>
  </si>
  <si>
    <t>With thousands of loans we cannot list every outcome. Instead we find the Worst-Case Default Rate (WCDR) – the default rate that will not be exceeded at the confidence level, given that loans tend to default together (correlation ρ).</t>
  </si>
  <si>
    <t>Total loan exposure</t>
  </si>
  <si>
    <t>Average 1-year PD</t>
  </si>
  <si>
    <t>Loss given default (LGD)</t>
  </si>
  <si>
    <t>Default correlation (ρ)</t>
  </si>
  <si>
    <t>Basel-style</t>
  </si>
  <si>
    <t>Confidence level (X)</t>
  </si>
  <si>
    <t>Basel IRB</t>
  </si>
  <si>
    <t>WCDR = N[ ( N⁻¹(PD) + √ρ × N⁻¹(X) ) / √(1 − ρ) ]        Credit VaR = Exposure × LGD × (WCDR − PD)</t>
  </si>
  <si>
    <t>N⁻¹(PD)</t>
  </si>
  <si>
    <t>NORM.S.INV(PD)</t>
  </si>
  <si>
    <t>N⁻¹(X)</t>
  </si>
  <si>
    <t>NORM.S.INV(X)</t>
  </si>
  <si>
    <t>Numerator</t>
  </si>
  <si>
    <t>N⁻¹(PD) + √ρ × N⁻¹(X)</t>
  </si>
  <si>
    <t>Divide by √(1 − ρ)</t>
  </si>
  <si>
    <t>Numerator / √(1 − ρ)</t>
  </si>
  <si>
    <t>Worst-case default rate (WCDR)</t>
  </si>
  <si>
    <t>N(result)</t>
  </si>
  <si>
    <t>Loss at confidence level</t>
  </si>
  <si>
    <t>Exposure × LGD × WCDR</t>
  </si>
  <si>
    <t>Exposure × LGD × PD</t>
  </si>
  <si>
    <t>Exposure × LGD × (WCDR − PD)</t>
  </si>
  <si>
    <t>Teaching notes</t>
  </si>
  <si>
    <t>• Expected loss is a cost of doing business – priced into the loan rate and covered by provisions. Credit VaR (unexpected loss) is what capital is for.</t>
  </si>
  <si>
    <t>• Correlation matters: if ρ = 0, a large book almost never has a bad year; as ρ rises, loans default together and Credit VaR rises sharply. Try changing C46.</t>
  </si>
  <si>
    <t>• Basel IRB capital uses exactly this WCDR at 99.9% (plus a maturity adjustment): Capital ≈ EAD × LGD × (WCDR − PD).</t>
  </si>
  <si>
    <t>Credit VaR – Simple Worked Examples</t>
  </si>
  <si>
    <t>Expected loss, unexpected loss and the role of correlation   |   The Mountain Path Academy</t>
  </si>
  <si>
    <t>Example 1 – One loan: why the confidence level matters</t>
  </si>
  <si>
    <t>A bank lends ₹200 crore to one company. The 1-year PD is 3% and the recovery rate is 40%. Find the expected loss, and the Credit VaR at 95% and at 99% confidence.</t>
  </si>
  <si>
    <t>Loan exposure (EAD)</t>
  </si>
  <si>
    <t>1-year PD</t>
  </si>
  <si>
    <t>Recovery rate (RR)</t>
  </si>
  <si>
    <t>Confidence level 1</t>
  </si>
  <si>
    <t>Confidence level 2</t>
  </si>
  <si>
    <t>Loss if default = EAD × (1 − RR)        EL = PD × Loss        Credit VaR = Loss at confidence level − EL</t>
  </si>
  <si>
    <t>Outcome</t>
  </si>
  <si>
    <t>Default</t>
  </si>
  <si>
    <t>PD × Loss</t>
  </si>
  <si>
    <t>Loss at 95% confidence (VaR)</t>
  </si>
  <si>
    <t>First cumulative probability ≥ 95%</t>
  </si>
  <si>
    <t>Credit VaR at 95%</t>
  </si>
  <si>
    <t>Loss at 99% confidence (VaR)</t>
  </si>
  <si>
    <t>First cumulative probability ≥ 99%</t>
  </si>
  <si>
    <t>Credit VaR at 99%</t>
  </si>
  <si>
    <t>Example 2 – Unexpected loss as a standard deviation</t>
  </si>
  <si>
    <t>Using the same ₹200 crore loan, measure unexpected loss (UL) as the standard deviation of the loss.</t>
  </si>
  <si>
    <t>EL = EAD × LGD × PD        UL = EAD × LGD × √( PD × (1 − PD) )</t>
  </si>
  <si>
    <t>LGD</t>
  </si>
  <si>
    <t>1 − RR</t>
  </si>
  <si>
    <t>EAD × LGD × PD</t>
  </si>
  <si>
    <t>√( PD × (1 − PD) )</t>
  </si>
  <si>
    <t>Standard deviation of a 0/1 default</t>
  </si>
  <si>
    <t>Unexpected loss (UL)</t>
  </si>
  <si>
    <t>EAD × LGD × √( PD × (1 − PD) )</t>
  </si>
  <si>
    <t>Example 3 – 100 small loans that default independently</t>
  </si>
  <si>
    <t>Instead of one ₹200 cr loan, the bank holds 100 loans of ₹10 crore each. Each has a PD of 2% and LGD of 60%, and defaults are independent. Find the Credit VaR at 99% confidence.</t>
  </si>
  <si>
    <t>Number of loans (n)</t>
  </si>
  <si>
    <t>loans</t>
  </si>
  <si>
    <t>Exposure per loan</t>
  </si>
  <si>
    <t>1-year PD per loan</t>
  </si>
  <si>
    <t>P(k defaults) = C(n, k) × PD^k × (1 − PD)^(n − k)        Loss = k × Exposure × LGD</t>
  </si>
  <si>
    <t>Defaults (k)</t>
  </si>
  <si>
    <t>n × Exposure × LGD × PD</t>
  </si>
  <si>
    <t>Excel check: VaR</t>
  </si>
  <si>
    <t>BINOM.INV(n, PD, X) × Exposure × LGD</t>
  </si>
  <si>
    <t>Example 4 – Same 100 loans, but defaults are correlated</t>
  </si>
  <si>
    <t>In a recession, borrowers tend to default together. Treat the ₹1,000 crore book from Example 3 as a large portfolio and use the Vasicek (Basel) formula to compare default correlation ρ = 0 with ρ = 20% at 99% confidence.</t>
  </si>
  <si>
    <t>ρ = 0</t>
  </si>
  <si>
    <t>ρ = 20%</t>
  </si>
  <si>
    <t>Total exposure</t>
  </si>
  <si>
    <t>n × Exposure per loan</t>
  </si>
  <si>
    <t>Input</t>
  </si>
  <si>
    <t>( N⁻¹(PD) + √ρ × N⁻¹(X) ) / √(1 − ρ)</t>
  </si>
  <si>
    <t>Substitute</t>
  </si>
  <si>
    <t>Loss at 99% confidence</t>
  </si>
  <si>
    <t>Credit VaR</t>
  </si>
  <si>
    <t>Loss at 99% − EL</t>
  </si>
  <si>
    <t>Credit VaR &amp; Worst-Case Default Rate (WCDR) – Questions &amp; Answers</t>
  </si>
  <si>
    <t>From intuition to formula to Basel capital – every number below is live   |   The Mountain Path Academy</t>
  </si>
  <si>
    <t>Common inputs – change any blue cell and every answer on this tab updates</t>
  </si>
  <si>
    <t>Total loan portfolio exposure (EAD)</t>
  </si>
  <si>
    <t>1-year PD of each borrower</t>
  </si>
  <si>
    <t>copula correlation</t>
  </si>
  <si>
    <t>1 year (Basel)</t>
  </si>
  <si>
    <t>Q1. What is Credit VaR?</t>
  </si>
  <si>
    <t>Credit VaR is the loss on a loan portfolio, over one year, that will not be exceeded with a chosen confidence level X (for example 99.9%). Banks usually quote it as unexpected loss: Credit VaR = Loss at X − Expected Loss. Expected loss is covered by loan pricing and provisions; the unexpected part must be covered by capital.</t>
  </si>
  <si>
    <t>Q2. How is Credit VaR different from market VaR?</t>
  </si>
  <si>
    <t>(1) Horizon: 1 year, not 1 or 10 days – loans cannot be sold quickly. (2) Shape: credit losses are heavily skewed – usually small, occasionally huge – so a normal distribution does not work. (3) Driver: the main risk is many borrowers defaulting together in a bad year, so default correlation matters more than volatility. (4) Confidence: regulators use 99.9% (a 1-in-1,000-year loss).</t>
  </si>
  <si>
    <t>Q3. What is the Worst-Case Default Rate (WCDR)?</t>
  </si>
  <si>
    <t>WCDR is the percentage of the portfolio that defaults in a very bad year – the default rate we are X% sure will NOT be exceeded in one year. If WCDR(99.9%) = 22%, then in 999 years out of 1,000, fewer than 22% of the borrowers default. It turns one borrower's PD into a 'bad-year' default rate for the whole portfolio.</t>
  </si>
  <si>
    <t>WCDR(T, X) = N [ ( N⁻¹(PD) + √ρ × N⁻¹(X) ) / √(1 − ρ) ]          (Vasicek one-factor model)</t>
  </si>
  <si>
    <t>Q4. Where does the WCDR formula come from? (Show me a good year and a bad year)</t>
  </si>
  <si>
    <t>Each borrower's credit quality = √ρ × F (the common economy) + √(1 − ρ) × Z (its own luck). A borrower defaults when its quality falls below N⁻¹(PD). If the economy F is known, defaults are independent, so the default rate that year is DR(F) below. A bad economy (negative F) pushes everyone down at once. The WCDR is simply DR(F) in the year where F is so bad that it happens with probability only 1 − X, i.e. F = −N⁻¹(X).</t>
  </si>
  <si>
    <t>Default rate in a year with economy F:   DR(F) = N [ ( N⁻¹(PD) − √ρ × F ) / √(1 − ρ) ]</t>
  </si>
  <si>
    <t>Economy factor (F)</t>
  </si>
  <si>
    <t>Kind of year</t>
  </si>
  <si>
    <t>P(economy this bad or worse) = N(F)</t>
  </si>
  <si>
    <t>Default rate that year DR(F)</t>
  </si>
  <si>
    <t>Boom</t>
  </si>
  <si>
    <t>Good year</t>
  </si>
  <si>
    <t>Average year</t>
  </si>
  <si>
    <t>Mild recession</t>
  </si>
  <si>
    <t>Severe recession</t>
  </si>
  <si>
    <t>1-in-1,000-year crisis → WCDR</t>
  </si>
  <si>
    <t>Q5. Calculate the WCDR step by step for our portfolio</t>
  </si>
  <si>
    <t>WCDR = N [ ( N⁻¹(PD) + √ρ × N⁻¹(X) ) / √(1 − ρ) ]</t>
  </si>
  <si>
    <t>Step 1: N⁻¹(PD)</t>
  </si>
  <si>
    <t>Step 2: N⁻¹(X)</t>
  </si>
  <si>
    <t>Step 3: √ρ</t>
  </si>
  <si>
    <t>Step 4: Numerator</t>
  </si>
  <si>
    <t>Step 5: √(1 − ρ)</t>
  </si>
  <si>
    <t>Step 6: z = Numerator ÷ √(1 − ρ)</t>
  </si>
  <si>
    <t>Step 7: WCDR = N(z)</t>
  </si>
  <si>
    <t>Excel check: WCDR in one formula</t>
  </si>
  <si>
    <t>NORM.S.DIST((NORM.S.INV(PD)+SQRT(ρ)*NORM.S.INV(X))/SQRT(1−ρ),TRUE)</t>
  </si>
  <si>
    <t>Q6. Using the WCDR, what is the Credit VaR of the ₹1,000 crore portfolio?</t>
  </si>
  <si>
    <t>Loss at X = EAD × LGD × WCDR        Expected loss = EAD × LGD × PD        Credit VaR = Loss at X − Expected loss</t>
  </si>
  <si>
    <t>Loss at X (bad-year loss)</t>
  </si>
  <si>
    <t>Credit VaR as % of exposure</t>
  </si>
  <si>
    <t>Credit VaR ÷ EAD</t>
  </si>
  <si>
    <t>Q7. How does default correlation (ρ) change the WCDR and Credit VaR?  (PD and X held at the inputs)</t>
  </si>
  <si>
    <t>Correlation (ρ)</t>
  </si>
  <si>
    <t>WCDR</t>
  </si>
  <si>
    <t>WCDR ÷ PD</t>
  </si>
  <si>
    <t>Loss at X</t>
  </si>
  <si>
    <t>Expected loss</t>
  </si>
  <si>
    <t>Q8. How does the confidence level (X) change the WCDR and Credit VaR?  (PD and ρ held at the inputs)</t>
  </si>
  <si>
    <t>Bad year = 1 in … years</t>
  </si>
  <si>
    <t>Q9. Is the WCDR a probability for one borrower, or a percentage of the portfolio?</t>
  </si>
  <si>
    <t>Both – and that is the key insight. For one borrower, WCDR is its PD conditional on the bad year happening (a conditional PD). For a large portfolio of many small, similar loans, the law of large numbers turns that conditional PD into the actual fraction of loans that default in that year. That is why the formula works for a granular book, and why it overstates diversification for a book with a few very large loans (see Credit VaR Examples, Example 1).</t>
  </si>
  <si>
    <t>Q10. How does the WCDR feed into Basel IRB capital?</t>
  </si>
  <si>
    <t>Capital K = LGD × (WCDR − PD) × Maturity adj.        Capital = K × EAD        RWA = 12.5 × Capital</t>
  </si>
  <si>
    <t>Capital per ₹1 of exposure (K)</t>
  </si>
  <si>
    <t>Capital required</t>
  </si>
  <si>
    <t>Risk-weighted assets (RWA)</t>
  </si>
  <si>
    <t>12.5 × Capital  (12.5 = 1 ÷ 8% minimum capital ratio)</t>
  </si>
  <si>
    <t>Check: equals Credit VaR from Q6?</t>
  </si>
  <si>
    <t>Capital − Credit VaR (should be zero)</t>
  </si>
  <si>
    <t>Q11. What are the main assumptions and limitations of the WCDR approach?</t>
  </si>
  <si>
    <t>(1) One common factor (the economy) drives all correlation – no industry or regional clusters. (2) Credit quality is normally distributed, so joint extreme crashes may be under-stated. (3) The portfolio is large and granular – no single big exposure. (4) PD, LGD and ρ are fixed and independent; in reality LGD also rises in bad years. (5) ρ is hard to estimate and, as Q7 shows, small changes in ρ move capital a lot.</t>
  </si>
  <si>
    <t>Q12. Quick check: if each borrower's PD doubles, does Credit VaR double?  (ρ and X held at the inputs)</t>
  </si>
  <si>
    <t>Scenario PD</t>
  </si>
  <si>
    <t>Adjusted Exposure – Committed vs Uncommitted Loans</t>
  </si>
  <si>
    <t>How much will the borrower owe us on the day it defaults?   |   The Mountain Path Academy</t>
  </si>
  <si>
    <t>Key idea</t>
  </si>
  <si>
    <r>
      <t>A loan facility has a limit, a drawn part (already lent) and an undrawn part (still available). The drawn part is fully at risk. For the undrawn part we ask: will the borrower draw it before defaulting? Under a COMMITTED facility the bank must lend on request – and borrowers in trouble draw down heavily – so a large share counts. Under an UNCOMMITTED facility the bank can refuse or cancel, so only a small share counts. That share is the C</t>
    </r>
    <r>
      <rPr>
        <sz val="20"/>
        <color rgb="FFFF0000"/>
        <rFont val="Aptos"/>
      </rPr>
      <t>redit Conversion Factor (CCF).</t>
    </r>
  </si>
  <si>
    <t>Adjusted exposure (EAD) = Drawn amount + Credit Conversion Factor × Undrawn amount        Undrawn = Limit − Drawn</t>
  </si>
  <si>
    <t>Abbreviations used on this sheet</t>
  </si>
  <si>
    <t>CCF = Credit Conversion Factor  •  EAD = Exposure at Default  •  EL = Expected Loss  •  PD = Probability of Default  •  LGD = Loss Given Default  •  WCDR = Worst-Case Default Rate  •  VaR = Value at Risk  •  ρ (rho) = default correlation  •  X = confidence level  •  N(·) = standard normal cumulative distribution, N⁻¹(·) = its inverse  •  ₹ cr = ₹ crore</t>
  </si>
  <si>
    <t>Common inputs – change any blue cell and every example updates</t>
  </si>
  <si>
    <t>Note</t>
  </si>
  <si>
    <t>Credit Conversion Factor – committed facility</t>
  </si>
  <si>
    <t>Illustrative: Basel III standardised Credit Conversion Factor for general commitments</t>
  </si>
  <si>
    <t>Credit Conversion Factor – uncommitted facility</t>
  </si>
  <si>
    <t>Illustrative: Basel III Credit Conversion Factor for unconditionally cancellable commitments</t>
  </si>
  <si>
    <t>1-year Probability of Default of borrower</t>
  </si>
  <si>
    <t>Same borrower in every example</t>
  </si>
  <si>
    <t>Senior unsecured (illustrative)</t>
  </si>
  <si>
    <t>Used only in Example 4 (WCDR)</t>
  </si>
  <si>
    <t>Used only in Example 4 (Basel 99.9%)</t>
  </si>
  <si>
    <t>Example 1 – Committed revolving credit line</t>
  </si>
  <si>
    <t>A bank gives a company a COMMITTED ₹100 crore revolving credit line. Today the company has drawn ₹60 crore. Find the adjusted exposure and the expected loss.</t>
  </si>
  <si>
    <t>Facility limit</t>
  </si>
  <si>
    <t>Amount drawn today</t>
  </si>
  <si>
    <t>Undrawn amount</t>
  </si>
  <si>
    <t>Expected further draw-down</t>
  </si>
  <si>
    <t>Adjusted exposure (EAD)</t>
  </si>
  <si>
    <t>Example 2 – Same line, but UNCOMMITTED</t>
  </si>
  <si>
    <t>Now suppose the same ₹100 crore line is UNCOMMITTED – the bank can refuse further drawings or cancel the line at any time without notice. Limit and drawn amount are the same as Example 1.</t>
  </si>
  <si>
    <t>Limit − Drawn (from Example 1)</t>
  </si>
  <si>
    <t>Exposure saved vs committed line</t>
  </si>
  <si>
    <t>Exposure at Default (Example 1) − Exposure at Default (Example 2)</t>
  </si>
  <si>
    <t>Example 3 – A borrower with four different facilities</t>
  </si>
  <si>
    <t>A company has four facilities with the bank: a fully drawn term loan, a committed revolver, an uncommitted overdraft and a committed back-up line that has not been used at all. Find total adjusted exposure and compare it with 'drawn only' exposure. (Change Type, Limit or Drawn in blue.)</t>
  </si>
  <si>
    <t>Facility</t>
  </si>
  <si>
    <t>Type</t>
  </si>
  <si>
    <t>Limit</t>
  </si>
  <si>
    <t>Drawn</t>
  </si>
  <si>
    <t>Undrawn</t>
  </si>
  <si>
    <t>Credit Conversion Factor</t>
  </si>
  <si>
    <t>Adjusted exposure</t>
  </si>
  <si>
    <t>Term loan</t>
  </si>
  <si>
    <t>Revolving credit line</t>
  </si>
  <si>
    <t>Committed</t>
  </si>
  <si>
    <t>Overdraft</t>
  </si>
  <si>
    <t>Uncommitted</t>
  </si>
  <si>
    <t>Back-up liquidity line</t>
  </si>
  <si>
    <t>Total</t>
  </si>
  <si>
    <t>Total Exposure at Default = Σ Drawn + Σ ( Credit Conversion Factor × Undrawn )        Credit Conversion Factor: committed = input, uncommitted = input, term loan = nothing left to draw</t>
  </si>
  <si>
    <t>Drawn-only exposure</t>
  </si>
  <si>
    <t>Σ Drawn</t>
  </si>
  <si>
    <t>Excel check: Exposure at Default</t>
  </si>
  <si>
    <t>SUM(Drawn) + SUMPRODUCT(Credit Conversion Factor, Undrawn)</t>
  </si>
  <si>
    <t>Expected loss on drawn only</t>
  </si>
  <si>
    <t>Expected loss on adjusted exposure</t>
  </si>
  <si>
    <t>Under-statement if only drawn is used</t>
  </si>
  <si>
    <t>(Exposure at Default − Drawn) ÷ Exposure at Default</t>
  </si>
  <si>
    <t>Example 4 – Does the Credit Conversion Factor matter for Credit Value at Risk?</t>
  </si>
  <si>
    <t>Use the four facilities from Example 3 as one large, granular portfolio of similar borrowers. Calculate Credit Value at Risk at the confidence level X with the Vasicek Worst-Case Default Rate, first on drawn amounts only, then on adjusted exposure.</t>
  </si>
  <si>
    <t>Worst-Case Default Rate = N [ ( N⁻¹(Probability of Default) + √ρ × N⁻¹(X) ) / √(1 − ρ) ]        Credit Value at Risk = Exposure × Loss Given Default × (WCDR − PD)</t>
  </si>
  <si>
    <t>Credit Value at Risk – drawn only</t>
  </si>
  <si>
    <t>Credit Value at Risk – adjusted exposure</t>
  </si>
  <si>
    <t>Extra capital from undrawn commitments</t>
  </si>
  <si>
    <t>Adjusted − Drawn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</si>
</sst>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0;[Red]\(\₹#,##0.00\);&quot;-&quot;"/>
    <numFmt numFmtId="165" formatCode="0.0%"/>
    <numFmt numFmtId="166" formatCode="0.0000"/>
    <numFmt numFmtId="167" formatCode="\₹#,##0.00;[Red]\(\₹#,##0.00\);&quot;₹0.00&quot;"/>
    <numFmt numFmtId="168" formatCode="\₹#,##0.00"/>
    <numFmt numFmtId="169" formatCode="0.0&quot;×&quot;"/>
    <numFmt numFmtId="170" formatCode="\₹#,##0.00;[Red]\(\₹#,##0.00\);&quot;✔ 0.00&quot;"/>
  </numFmts>
  <fonts count="30" x14ac:knownFonts="1">
    <font>
      <sz val="11"/>
      <color theme="1"/>
      <name val="Aptos Narrow"/>
      <family val="2"/>
      <scheme val="minor"/>
    </font>
    <font>
      <b/>
      <sz val="28"/>
      <color rgb="FFFFFFFF"/>
      <name val="Aptos"/>
    </font>
    <font>
      <sz val="22"/>
      <color theme="1"/>
      <name val="Aptos"/>
    </font>
    <font>
      <i/>
      <sz val="22"/>
      <color rgb="FFDCEAF3"/>
      <name val="Aptos"/>
    </font>
    <font>
      <b/>
      <sz val="22"/>
      <color rgb="FFFFFFFF"/>
      <name val="Aptos"/>
    </font>
    <font>
      <sz val="22"/>
      <color rgb="FF1E2933"/>
      <name val="Aptos"/>
    </font>
    <font>
      <b/>
      <sz val="22"/>
      <color rgb="FF0B2E4F"/>
      <name val="Aptos"/>
    </font>
    <font>
      <sz val="22"/>
      <color rgb="FF0000FF"/>
      <name val="Aptos"/>
    </font>
    <font>
      <b/>
      <sz val="22"/>
      <color theme="1"/>
      <name val="Aptos"/>
    </font>
    <font>
      <b/>
      <i/>
      <sz val="22"/>
      <color rgb="FF0B2E4F"/>
      <name val="Aptos"/>
    </font>
    <font>
      <b/>
      <sz val="22"/>
      <color rgb="FFFF0000"/>
      <name val="Aptos"/>
    </font>
    <font>
      <b/>
      <sz val="22"/>
      <color rgb="FF2E7D57"/>
      <name val="Aptos"/>
    </font>
    <font>
      <b/>
      <sz val="22"/>
      <color rgb="FF0000FF"/>
      <name val="Aptos"/>
    </font>
    <font>
      <i/>
      <sz val="22"/>
      <color rgb="FF0B2E4F"/>
      <name val="Aptos"/>
    </font>
    <font>
      <b/>
      <sz val="22"/>
      <color rgb="FF1E2933"/>
      <name val="Aptos"/>
    </font>
    <font>
      <sz val="20"/>
      <color theme="1"/>
      <name val="Aptos"/>
    </font>
    <font>
      <b/>
      <sz val="20"/>
      <color rgb="FFFFFFFF"/>
      <name val="Aptos"/>
    </font>
    <font>
      <sz val="20"/>
      <color theme="1"/>
      <name val="Aptos Narrow"/>
      <family val="2"/>
      <scheme val="minor"/>
    </font>
    <font>
      <i/>
      <sz val="20"/>
      <color rgb="FFDCEAF3"/>
      <name val="Aptos"/>
    </font>
    <font>
      <sz val="20"/>
      <color rgb="FF1E2933"/>
      <name val="Aptos"/>
    </font>
    <font>
      <sz val="20"/>
      <color rgb="FFFF0000"/>
      <name val="Aptos"/>
    </font>
    <font>
      <b/>
      <sz val="20"/>
      <color rgb="FF1E2933"/>
      <name val="Aptos"/>
    </font>
    <font>
      <b/>
      <sz val="20"/>
      <color rgb="FFFFFFFF"/>
      <name val="Aptos Narrow"/>
      <family val="2"/>
      <scheme val="minor"/>
    </font>
    <font>
      <sz val="20"/>
      <color rgb="FF1E2933"/>
      <name val="Aptos Narrow"/>
      <family val="2"/>
      <scheme val="minor"/>
    </font>
    <font>
      <b/>
      <sz val="20"/>
      <color rgb="FF0B2E4F"/>
      <name val="Aptos"/>
    </font>
    <font>
      <sz val="20"/>
      <color rgb="FF0000FF"/>
      <name val="Aptos"/>
    </font>
    <font>
      <i/>
      <sz val="20"/>
      <color theme="1"/>
      <name val="Aptos"/>
    </font>
    <font>
      <b/>
      <sz val="20"/>
      <color theme="1"/>
      <name val="Aptos"/>
    </font>
    <font>
      <b/>
      <i/>
      <sz val="20"/>
      <color rgb="FF0B2E4F"/>
      <name val="Aptos"/>
    </font>
    <font>
      <b/>
      <sz val="20"/>
      <color rgb="FF2E7D57"/>
      <name val="Aptos"/>
    </font>
  </fonts>
  <fills count="9">
    <fill>
      <patternFill patternType="none"/>
    </fill>
    <fill>
      <patternFill patternType="gray125"/>
    </fill>
    <fill>
      <patternFill patternType="solid">
        <fgColor rgb="FF0B2E4F"/>
        <bgColor indexed="64"/>
      </patternFill>
    </fill>
    <fill>
      <patternFill patternType="solid">
        <fgColor rgb="FF176B9B"/>
        <bgColor indexed="64"/>
      </patternFill>
    </fill>
    <fill>
      <patternFill patternType="solid">
        <fgColor rgb="FFEAF3F8"/>
        <bgColor indexed="64"/>
      </patternFill>
    </fill>
    <fill>
      <patternFill patternType="solid">
        <fgColor rgb="FFD6E4EF"/>
        <bgColor indexed="64"/>
      </patternFill>
    </fill>
    <fill>
      <patternFill patternType="solid">
        <fgColor rgb="FFFFF4D6"/>
        <bgColor indexed="64"/>
      </patternFill>
    </fill>
    <fill>
      <patternFill patternType="solid">
        <fgColor rgb="FFF2F7FA"/>
        <bgColor indexed="64"/>
      </patternFill>
    </fill>
    <fill>
      <patternFill patternType="solid">
        <fgColor rgb="FFE7ECEF"/>
        <bgColor indexed="64"/>
      </patternFill>
    </fill>
  </fills>
  <borders count="22">
    <border>
      <left/>
      <right/>
      <top/>
      <bottom/>
      <diagonal/>
    </border>
    <border>
      <left style="thin">
        <color rgb="FF176B9B"/>
      </left>
      <right/>
      <top style="thin">
        <color rgb="FF176B9B"/>
      </top>
      <bottom style="thin">
        <color rgb="FF176B9B"/>
      </bottom>
      <diagonal/>
    </border>
    <border>
      <left/>
      <right/>
      <top style="thin">
        <color rgb="FF176B9B"/>
      </top>
      <bottom style="thin">
        <color rgb="FF176B9B"/>
      </bottom>
      <diagonal/>
    </border>
    <border>
      <left/>
      <right style="thin">
        <color rgb="FF176B9B"/>
      </right>
      <top style="thin">
        <color rgb="FF176B9B"/>
      </top>
      <bottom style="thin">
        <color rgb="FF176B9B"/>
      </bottom>
      <diagonal/>
    </border>
    <border>
      <left style="thin">
        <color rgb="FFB0B0B0"/>
      </left>
      <right style="thin">
        <color rgb="FFB0B0B0"/>
      </right>
      <top style="thin">
        <color rgb="FFB0B0B0"/>
      </top>
      <bottom style="thin">
        <color rgb="FFB0B0B0"/>
      </bottom>
      <diagonal/>
    </border>
    <border>
      <left style="thin">
        <color rgb="FF176B9B"/>
      </left>
      <right/>
      <top style="thin">
        <color rgb="FF176B9B"/>
      </top>
      <bottom/>
      <diagonal/>
    </border>
    <border>
      <left/>
      <right/>
      <top style="thin">
        <color rgb="FF176B9B"/>
      </top>
      <bottom/>
      <diagonal/>
    </border>
    <border>
      <left/>
      <right style="thin">
        <color rgb="FF176B9B"/>
      </right>
      <top style="thin">
        <color rgb="FF176B9B"/>
      </top>
      <bottom/>
      <diagonal/>
    </border>
    <border>
      <left style="thin">
        <color rgb="FFB0B0B0"/>
      </left>
      <right/>
      <top style="thin">
        <color rgb="FFB0B0B0"/>
      </top>
      <bottom style="thin">
        <color rgb="FFB0B0B0"/>
      </bottom>
      <diagonal/>
    </border>
    <border>
      <left/>
      <right/>
      <top style="thin">
        <color rgb="FFB0B0B0"/>
      </top>
      <bottom style="thin">
        <color rgb="FFB0B0B0"/>
      </bottom>
      <diagonal/>
    </border>
    <border>
      <left/>
      <right style="thin">
        <color rgb="FFB0B0B0"/>
      </right>
      <top style="thin">
        <color rgb="FFB0B0B0"/>
      </top>
      <bottom style="thin">
        <color rgb="FFB0B0B0"/>
      </bottom>
      <diagonal/>
    </border>
    <border>
      <left style="thin">
        <color rgb="FF0B2E4F"/>
      </left>
      <right/>
      <top/>
      <bottom style="thin">
        <color rgb="FF0B2E4F"/>
      </bottom>
      <diagonal/>
    </border>
    <border>
      <left/>
      <right/>
      <top/>
      <bottom style="thin">
        <color rgb="FF0B2E4F"/>
      </bottom>
      <diagonal/>
    </border>
    <border>
      <left/>
      <right style="thin">
        <color rgb="FF0B2E4F"/>
      </right>
      <top/>
      <bottom style="thin">
        <color rgb="FF0B2E4F"/>
      </bottom>
      <diagonal/>
    </border>
    <border>
      <left/>
      <right style="thin">
        <color rgb="FF0B2E4F"/>
      </right>
      <top style="thin">
        <color rgb="FF0B2E4F"/>
      </top>
      <bottom style="thin">
        <color rgb="FF0B2E4F"/>
      </bottom>
      <diagonal/>
    </border>
    <border>
      <left style="thin">
        <color rgb="FF0B2E4F"/>
      </left>
      <right/>
      <top style="thin">
        <color rgb="FF0B2E4F"/>
      </top>
      <bottom style="thin">
        <color rgb="FF0B2E4F"/>
      </bottom>
      <diagonal/>
    </border>
    <border>
      <left/>
      <right/>
      <top style="thin">
        <color rgb="FF0B2E4F"/>
      </top>
      <bottom style="thin">
        <color rgb="FF0B2E4F"/>
      </bottom>
      <diagonal/>
    </border>
    <border>
      <left style="thin">
        <color rgb="FF0B2E4F"/>
      </left>
      <right/>
      <top style="thin">
        <color rgb="FF0B2E4F"/>
      </top>
      <bottom/>
      <diagonal/>
    </border>
    <border>
      <left/>
      <right/>
      <top style="thin">
        <color rgb="FF0B2E4F"/>
      </top>
      <bottom/>
      <diagonal/>
    </border>
    <border>
      <left/>
      <right style="thin">
        <color rgb="FF0B2E4F"/>
      </right>
      <top style="thin">
        <color rgb="FF0B2E4F"/>
      </top>
      <bottom/>
      <diagonal/>
    </border>
    <border>
      <left style="thin">
        <color rgb="FFB0B0B0"/>
      </left>
      <right style="thin">
        <color rgb="FFB0B0B0"/>
      </right>
      <top style="thin">
        <color rgb="FFB0B0B0"/>
      </top>
      <bottom/>
      <diagonal/>
    </border>
    <border>
      <left style="thin">
        <color rgb="FFB0B0B0"/>
      </left>
      <right style="thin">
        <color rgb="FFB0B0B0"/>
      </right>
      <top style="thin">
        <color rgb="FF0B2E4F"/>
      </top>
      <bottom/>
      <diagonal/>
    </border>
  </borders>
  <cellStyleXfs count="1">
    <xf numFmtId="0" fontId="0" fillId="0" borderId="0"/>
  </cellStyleXfs>
  <cellXfs count="190">
    <xf numFmtId="0" fontId="0" fillId="0" borderId="0" xfId="0"/>
    <xf numFmtId="0" fontId="1" fillId="2" borderId="0" xfId="0" applyFont="1" applyFill="1"/>
    <xf numFmtId="0" fontId="2" fillId="0" borderId="0" xfId="0" applyFont="1"/>
    <xf numFmtId="0" fontId="3" fillId="2" borderId="0" xfId="0" applyFont="1" applyFill="1"/>
    <xf numFmtId="0" fontId="4" fillId="3" borderId="0" xfId="0" applyFont="1" applyFill="1"/>
    <xf numFmtId="0" fontId="5" fillId="4" borderId="1" xfId="0" applyFont="1" applyFill="1" applyBorder="1" applyAlignment="1">
      <alignment vertical="center" wrapText="1"/>
    </xf>
    <xf numFmtId="0" fontId="5" fillId="4" borderId="2" xfId="0" applyFont="1" applyFill="1" applyBorder="1" applyAlignment="1">
      <alignment vertical="center" wrapText="1"/>
    </xf>
    <xf numFmtId="0" fontId="5" fillId="4" borderId="3" xfId="0" applyFont="1" applyFill="1" applyBorder="1" applyAlignment="1">
      <alignment vertical="center" wrapText="1"/>
    </xf>
    <xf numFmtId="0" fontId="6" fillId="5" borderId="4" xfId="0" applyFont="1" applyFill="1" applyBorder="1" applyAlignment="1">
      <alignment horizontal="center" vertical="center" wrapText="1"/>
    </xf>
    <xf numFmtId="0" fontId="2" fillId="0" borderId="4" xfId="0" applyFont="1" applyBorder="1" applyAlignment="1">
      <alignment wrapText="1"/>
    </xf>
    <xf numFmtId="164" fontId="7" fillId="6" borderId="4" xfId="0" applyNumberFormat="1" applyFont="1" applyFill="1" applyBorder="1" applyAlignment="1">
      <alignment horizontal="center"/>
    </xf>
    <xf numFmtId="0" fontId="2" fillId="0" borderId="4" xfId="0" applyFont="1" applyBorder="1" applyAlignment="1">
      <alignment horizontal="center"/>
    </xf>
    <xf numFmtId="165" fontId="7" fillId="6" borderId="4" xfId="0" applyNumberFormat="1" applyFont="1" applyFill="1" applyBorder="1" applyAlignment="1">
      <alignment horizontal="center"/>
    </xf>
    <xf numFmtId="0" fontId="2" fillId="0" borderId="0" xfId="0" applyFont="1" applyAlignment="1">
      <alignment wrapText="1"/>
    </xf>
    <xf numFmtId="0" fontId="4" fillId="3" borderId="0" xfId="0" applyFont="1" applyFill="1" applyAlignment="1">
      <alignment wrapText="1"/>
    </xf>
    <xf numFmtId="0" fontId="8" fillId="4" borderId="5" xfId="0" applyFont="1" applyFill="1" applyBorder="1" applyAlignment="1">
      <alignment horizontal="center" vertical="center" wrapText="1"/>
    </xf>
    <xf numFmtId="0" fontId="8" fillId="4" borderId="6"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2" fillId="0" borderId="4" xfId="0" applyFont="1" applyBorder="1"/>
    <xf numFmtId="164" fontId="8" fillId="0" borderId="4" xfId="0" applyNumberFormat="1" applyFont="1" applyBorder="1" applyAlignment="1">
      <alignment horizontal="center"/>
    </xf>
    <xf numFmtId="0" fontId="8" fillId="4" borderId="3" xfId="0" applyFont="1" applyFill="1" applyBorder="1" applyAlignment="1">
      <alignment horizontal="center" vertical="center" wrapText="1"/>
    </xf>
    <xf numFmtId="165" fontId="2" fillId="0" borderId="4" xfId="0" applyNumberFormat="1" applyFont="1" applyBorder="1" applyAlignment="1">
      <alignment horizontal="center"/>
    </xf>
    <xf numFmtId="164" fontId="2" fillId="0" borderId="4" xfId="0" applyNumberFormat="1" applyFont="1" applyBorder="1" applyAlignment="1">
      <alignment horizontal="center"/>
    </xf>
    <xf numFmtId="0" fontId="2" fillId="7" borderId="4" xfId="0" applyFont="1" applyFill="1" applyBorder="1" applyAlignment="1">
      <alignment wrapText="1"/>
    </xf>
    <xf numFmtId="0" fontId="2" fillId="7" borderId="4" xfId="0" applyFont="1" applyFill="1" applyBorder="1" applyAlignment="1">
      <alignment horizontal="center"/>
    </xf>
    <xf numFmtId="165" fontId="2" fillId="7" borderId="4" xfId="0" applyNumberFormat="1" applyFont="1" applyFill="1" applyBorder="1" applyAlignment="1">
      <alignment horizontal="center"/>
    </xf>
    <xf numFmtId="164" fontId="2" fillId="7" borderId="4" xfId="0" applyNumberFormat="1" applyFont="1" applyFill="1" applyBorder="1" applyAlignment="1">
      <alignment horizontal="center"/>
    </xf>
    <xf numFmtId="0" fontId="8" fillId="8" borderId="8" xfId="0" applyFont="1" applyFill="1" applyBorder="1" applyAlignment="1">
      <alignment horizontal="right" wrapText="1"/>
    </xf>
    <xf numFmtId="0" fontId="8" fillId="8" borderId="9" xfId="0" applyFont="1" applyFill="1" applyBorder="1"/>
    <xf numFmtId="0" fontId="8" fillId="8" borderId="10" xfId="0" applyFont="1" applyFill="1" applyBorder="1"/>
    <xf numFmtId="165" fontId="8" fillId="8" borderId="4" xfId="0" applyNumberFormat="1" applyFont="1" applyFill="1" applyBorder="1" applyAlignment="1">
      <alignment horizontal="center"/>
    </xf>
    <xf numFmtId="0" fontId="8" fillId="8" borderId="4" xfId="0" applyFont="1" applyFill="1" applyBorder="1" applyAlignment="1">
      <alignment horizontal="center"/>
    </xf>
    <xf numFmtId="164" fontId="6" fillId="6" borderId="4" xfId="0" applyNumberFormat="1" applyFont="1" applyFill="1" applyBorder="1" applyAlignment="1">
      <alignment horizontal="center"/>
    </xf>
    <xf numFmtId="0" fontId="9" fillId="6" borderId="11" xfId="0" applyFont="1" applyFill="1" applyBorder="1" applyAlignment="1">
      <alignment horizontal="center" vertical="center" wrapText="1"/>
    </xf>
    <xf numFmtId="0" fontId="9" fillId="6" borderId="12" xfId="0" applyFont="1" applyFill="1" applyBorder="1" applyAlignment="1">
      <alignment horizontal="center" vertical="center" wrapText="1"/>
    </xf>
    <xf numFmtId="0" fontId="9" fillId="6" borderId="13" xfId="0" applyFont="1" applyFill="1" applyBorder="1" applyAlignment="1">
      <alignment horizontal="center" vertical="center" wrapText="1"/>
    </xf>
    <xf numFmtId="0" fontId="5" fillId="4" borderId="5" xfId="0" applyFont="1" applyFill="1" applyBorder="1" applyAlignment="1">
      <alignment vertical="center" wrapText="1"/>
    </xf>
    <xf numFmtId="0" fontId="5" fillId="4" borderId="6" xfId="0" applyFont="1" applyFill="1" applyBorder="1" applyAlignment="1">
      <alignment vertical="center" wrapText="1"/>
    </xf>
    <xf numFmtId="166" fontId="8" fillId="0" borderId="4" xfId="0" applyNumberFormat="1" applyFont="1" applyBorder="1" applyAlignment="1">
      <alignment horizontal="center"/>
    </xf>
    <xf numFmtId="10" fontId="6" fillId="6" borderId="4" xfId="0" applyNumberFormat="1" applyFont="1" applyFill="1" applyBorder="1" applyAlignment="1">
      <alignment horizontal="center"/>
    </xf>
    <xf numFmtId="0" fontId="5" fillId="4" borderId="0" xfId="0" applyFont="1" applyFill="1" applyAlignment="1">
      <alignment vertical="center" wrapText="1"/>
    </xf>
    <xf numFmtId="0" fontId="8" fillId="4" borderId="2" xfId="0" applyFont="1" applyFill="1" applyBorder="1" applyAlignment="1">
      <alignment horizontal="center" vertical="center" wrapText="1"/>
    </xf>
    <xf numFmtId="0" fontId="2" fillId="0" borderId="4" xfId="0" applyFont="1" applyBorder="1" applyAlignment="1">
      <alignment wrapText="1"/>
    </xf>
    <xf numFmtId="167" fontId="8" fillId="0" borderId="4" xfId="0" applyNumberFormat="1" applyFont="1" applyBorder="1" applyAlignment="1">
      <alignment horizontal="center"/>
    </xf>
    <xf numFmtId="167" fontId="6" fillId="6" borderId="4" xfId="0" applyNumberFormat="1" applyFont="1" applyFill="1" applyBorder="1" applyAlignment="1">
      <alignment horizontal="center"/>
    </xf>
    <xf numFmtId="0" fontId="5" fillId="4" borderId="7" xfId="0" applyFont="1" applyFill="1" applyBorder="1" applyAlignment="1">
      <alignment vertical="center" wrapText="1"/>
    </xf>
    <xf numFmtId="0" fontId="10" fillId="4" borderId="5" xfId="0" applyFont="1" applyFill="1" applyBorder="1" applyAlignment="1">
      <alignment horizontal="center" vertical="center" wrapText="1"/>
    </xf>
    <xf numFmtId="0" fontId="10" fillId="4" borderId="6" xfId="0" applyFont="1" applyFill="1" applyBorder="1" applyAlignment="1">
      <alignment horizontal="center" vertical="center" wrapText="1"/>
    </xf>
    <xf numFmtId="0" fontId="10" fillId="4" borderId="7" xfId="0" applyFont="1" applyFill="1" applyBorder="1" applyAlignment="1">
      <alignment horizontal="center" vertical="center" wrapText="1"/>
    </xf>
    <xf numFmtId="165" fontId="8" fillId="0" borderId="4" xfId="0" applyNumberFormat="1" applyFont="1" applyBorder="1" applyAlignment="1">
      <alignment horizontal="center"/>
    </xf>
    <xf numFmtId="1" fontId="7" fillId="6" borderId="4" xfId="0" applyNumberFormat="1" applyFont="1" applyFill="1" applyBorder="1" applyAlignment="1">
      <alignment horizontal="center" wrapText="1"/>
    </xf>
    <xf numFmtId="0" fontId="2" fillId="0" borderId="4" xfId="0" applyFont="1" applyBorder="1" applyAlignment="1">
      <alignment horizontal="center" wrapText="1"/>
    </xf>
    <xf numFmtId="164" fontId="7" fillId="6" borderId="4" xfId="0" applyNumberFormat="1" applyFont="1" applyFill="1" applyBorder="1" applyAlignment="1">
      <alignment horizontal="center" wrapText="1"/>
    </xf>
    <xf numFmtId="165" fontId="7" fillId="6" borderId="4" xfId="0" applyNumberFormat="1" applyFont="1" applyFill="1" applyBorder="1" applyAlignment="1">
      <alignment horizontal="center" wrapText="1"/>
    </xf>
    <xf numFmtId="10" fontId="2" fillId="0" borderId="4" xfId="0" applyNumberFormat="1" applyFont="1" applyBorder="1" applyAlignment="1">
      <alignment horizontal="center" wrapText="1"/>
    </xf>
    <xf numFmtId="164" fontId="2" fillId="0" borderId="4" xfId="0" applyNumberFormat="1" applyFont="1" applyBorder="1" applyAlignment="1">
      <alignment horizontal="center" wrapText="1"/>
    </xf>
    <xf numFmtId="0" fontId="2" fillId="7" borderId="4" xfId="0" applyFont="1" applyFill="1" applyBorder="1" applyAlignment="1">
      <alignment horizontal="center" wrapText="1"/>
    </xf>
    <xf numFmtId="10" fontId="2" fillId="7" borderId="4" xfId="0" applyNumberFormat="1" applyFont="1" applyFill="1" applyBorder="1" applyAlignment="1">
      <alignment horizontal="center" wrapText="1"/>
    </xf>
    <xf numFmtId="164" fontId="2" fillId="7" borderId="4" xfId="0" applyNumberFormat="1" applyFont="1" applyFill="1" applyBorder="1" applyAlignment="1">
      <alignment horizontal="center" wrapText="1"/>
    </xf>
    <xf numFmtId="0" fontId="6" fillId="6" borderId="4" xfId="0" applyFont="1" applyFill="1" applyBorder="1" applyAlignment="1">
      <alignment horizontal="center" wrapText="1"/>
    </xf>
    <xf numFmtId="10" fontId="6" fillId="6" borderId="4" xfId="0" applyNumberFormat="1" applyFont="1" applyFill="1" applyBorder="1" applyAlignment="1">
      <alignment horizontal="center" wrapText="1"/>
    </xf>
    <xf numFmtId="164" fontId="6" fillId="6" borderId="4" xfId="0" applyNumberFormat="1" applyFont="1" applyFill="1" applyBorder="1" applyAlignment="1">
      <alignment horizontal="center" wrapText="1"/>
    </xf>
    <xf numFmtId="164" fontId="11" fillId="0" borderId="4" xfId="0" applyNumberFormat="1" applyFont="1" applyBorder="1" applyAlignment="1">
      <alignment horizontal="center"/>
    </xf>
    <xf numFmtId="164" fontId="8" fillId="0" borderId="4" xfId="0" applyNumberFormat="1" applyFont="1" applyBorder="1" applyAlignment="1">
      <alignment horizontal="center" wrapText="1"/>
    </xf>
    <xf numFmtId="9" fontId="12" fillId="6" borderId="4" xfId="0" applyNumberFormat="1" applyFont="1" applyFill="1" applyBorder="1" applyAlignment="1">
      <alignment horizontal="center" wrapText="1"/>
    </xf>
    <xf numFmtId="166" fontId="8" fillId="0" borderId="4" xfId="0" applyNumberFormat="1" applyFont="1" applyBorder="1" applyAlignment="1">
      <alignment horizontal="center" wrapText="1"/>
    </xf>
    <xf numFmtId="10" fontId="8" fillId="0" borderId="4" xfId="0" applyNumberFormat="1" applyFont="1" applyBorder="1" applyAlignment="1">
      <alignment horizontal="center" wrapText="1"/>
    </xf>
    <xf numFmtId="0" fontId="8" fillId="8" borderId="4" xfId="0" applyFont="1" applyFill="1" applyBorder="1" applyAlignment="1">
      <alignment wrapText="1"/>
    </xf>
    <xf numFmtId="0" fontId="8" fillId="8" borderId="4" xfId="0" applyFont="1" applyFill="1" applyBorder="1" applyAlignment="1">
      <alignment wrapText="1"/>
    </xf>
    <xf numFmtId="0" fontId="9" fillId="6" borderId="14" xfId="0" applyFont="1" applyFill="1" applyBorder="1" applyAlignment="1">
      <alignment horizontal="center" vertical="center" wrapText="1"/>
    </xf>
    <xf numFmtId="168" fontId="7" fillId="6" borderId="4" xfId="0" applyNumberFormat="1" applyFont="1" applyFill="1" applyBorder="1" applyAlignment="1">
      <alignment horizontal="center"/>
    </xf>
    <xf numFmtId="0" fontId="4" fillId="3" borderId="0" xfId="0" applyFont="1" applyFill="1" applyAlignment="1">
      <alignment vertical="center" wrapText="1"/>
    </xf>
    <xf numFmtId="0" fontId="13" fillId="6" borderId="15" xfId="0" applyFont="1" applyFill="1" applyBorder="1" applyAlignment="1">
      <alignment vertical="center" wrapText="1"/>
    </xf>
    <xf numFmtId="0" fontId="13" fillId="6" borderId="16" xfId="0" applyFont="1" applyFill="1" applyBorder="1" applyAlignment="1">
      <alignment vertical="center" wrapText="1"/>
    </xf>
    <xf numFmtId="0" fontId="13" fillId="6" borderId="14" xfId="0" applyFont="1" applyFill="1" applyBorder="1" applyAlignment="1">
      <alignment vertical="center" wrapText="1"/>
    </xf>
    <xf numFmtId="0" fontId="13" fillId="6" borderId="17" xfId="0" applyFont="1" applyFill="1" applyBorder="1" applyAlignment="1">
      <alignment vertical="center" wrapText="1"/>
    </xf>
    <xf numFmtId="0" fontId="13" fillId="6" borderId="18" xfId="0" applyFont="1" applyFill="1" applyBorder="1" applyAlignment="1">
      <alignment vertical="center" wrapText="1"/>
    </xf>
    <xf numFmtId="0" fontId="13" fillId="6" borderId="19" xfId="0" applyFont="1" applyFill="1" applyBorder="1" applyAlignment="1">
      <alignment vertical="center" wrapText="1"/>
    </xf>
    <xf numFmtId="0" fontId="14" fillId="4" borderId="1" xfId="0" applyFont="1" applyFill="1" applyBorder="1" applyAlignment="1">
      <alignment horizontal="center" vertical="center" wrapText="1"/>
    </xf>
    <xf numFmtId="0" fontId="14" fillId="4" borderId="2"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4" borderId="5" xfId="0"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2" fontId="7" fillId="0" borderId="4" xfId="0" applyNumberFormat="1" applyFont="1" applyBorder="1" applyAlignment="1">
      <alignment horizontal="center" wrapText="1"/>
    </xf>
    <xf numFmtId="0" fontId="2" fillId="0" borderId="4" xfId="0" applyFont="1" applyBorder="1" applyAlignment="1">
      <alignment horizontal="center"/>
    </xf>
    <xf numFmtId="10" fontId="2" fillId="0" borderId="4" xfId="0" applyNumberFormat="1" applyFont="1" applyBorder="1" applyAlignment="1">
      <alignment horizontal="center"/>
    </xf>
    <xf numFmtId="2" fontId="7" fillId="7" borderId="4" xfId="0" applyNumberFormat="1" applyFont="1" applyFill="1" applyBorder="1" applyAlignment="1">
      <alignment horizontal="center" wrapText="1"/>
    </xf>
    <xf numFmtId="0" fontId="2" fillId="7" borderId="4" xfId="0" applyFont="1" applyFill="1" applyBorder="1" applyAlignment="1">
      <alignment horizontal="center"/>
    </xf>
    <xf numFmtId="10" fontId="2" fillId="7" borderId="4" xfId="0" applyNumberFormat="1" applyFont="1" applyFill="1" applyBorder="1" applyAlignment="1">
      <alignment horizontal="center"/>
    </xf>
    <xf numFmtId="2" fontId="6" fillId="6" borderId="20" xfId="0" applyNumberFormat="1" applyFont="1" applyFill="1" applyBorder="1" applyAlignment="1">
      <alignment horizontal="center" wrapText="1"/>
    </xf>
    <xf numFmtId="0" fontId="6" fillId="6" borderId="20" xfId="0" applyFont="1" applyFill="1" applyBorder="1" applyAlignment="1">
      <alignment horizontal="center"/>
    </xf>
    <xf numFmtId="10" fontId="6" fillId="6" borderId="20" xfId="0" applyNumberFormat="1" applyFont="1" applyFill="1" applyBorder="1" applyAlignment="1">
      <alignment horizontal="center"/>
    </xf>
    <xf numFmtId="0" fontId="2" fillId="0" borderId="20" xfId="0" applyFont="1" applyBorder="1" applyAlignment="1">
      <alignment wrapText="1"/>
    </xf>
    <xf numFmtId="0" fontId="2" fillId="0" borderId="20" xfId="0" applyFont="1" applyBorder="1" applyAlignment="1">
      <alignment wrapText="1"/>
    </xf>
    <xf numFmtId="10" fontId="11" fillId="0" borderId="20" xfId="0" applyNumberFormat="1" applyFont="1" applyBorder="1" applyAlignment="1">
      <alignment horizontal="center"/>
    </xf>
    <xf numFmtId="10" fontId="8" fillId="0" borderId="20" xfId="0" applyNumberFormat="1" applyFont="1" applyBorder="1" applyAlignment="1">
      <alignment horizontal="center"/>
    </xf>
    <xf numFmtId="9" fontId="7" fillId="0" borderId="4" xfId="0" applyNumberFormat="1" applyFont="1" applyBorder="1" applyAlignment="1">
      <alignment horizontal="center" wrapText="1"/>
    </xf>
    <xf numFmtId="10" fontId="2" fillId="0" borderId="4" xfId="0" applyNumberFormat="1" applyFont="1" applyBorder="1" applyAlignment="1">
      <alignment horizontal="center"/>
    </xf>
    <xf numFmtId="169" fontId="2" fillId="0" borderId="4" xfId="0" applyNumberFormat="1" applyFont="1" applyBorder="1" applyAlignment="1">
      <alignment horizontal="center"/>
    </xf>
    <xf numFmtId="164" fontId="2" fillId="0" borderId="4" xfId="0" applyNumberFormat="1" applyFont="1" applyBorder="1" applyAlignment="1">
      <alignment horizontal="center"/>
    </xf>
    <xf numFmtId="9" fontId="7" fillId="7" borderId="4" xfId="0" applyNumberFormat="1" applyFont="1" applyFill="1" applyBorder="1" applyAlignment="1">
      <alignment horizontal="center" wrapText="1"/>
    </xf>
    <xf numFmtId="10" fontId="2" fillId="7" borderId="4" xfId="0" applyNumberFormat="1" applyFont="1" applyFill="1" applyBorder="1" applyAlignment="1">
      <alignment horizontal="center"/>
    </xf>
    <xf numFmtId="169" fontId="2" fillId="7" borderId="4" xfId="0" applyNumberFormat="1" applyFont="1" applyFill="1" applyBorder="1" applyAlignment="1">
      <alignment horizontal="center"/>
    </xf>
    <xf numFmtId="164" fontId="2" fillId="7" borderId="4" xfId="0" applyNumberFormat="1" applyFont="1" applyFill="1" applyBorder="1" applyAlignment="1">
      <alignment horizontal="center"/>
    </xf>
    <xf numFmtId="9" fontId="7" fillId="0" borderId="20" xfId="0" applyNumberFormat="1" applyFont="1" applyBorder="1" applyAlignment="1">
      <alignment horizontal="center" wrapText="1"/>
    </xf>
    <xf numFmtId="10" fontId="2" fillId="0" borderId="20" xfId="0" applyNumberFormat="1" applyFont="1" applyBorder="1" applyAlignment="1">
      <alignment horizontal="center"/>
    </xf>
    <xf numFmtId="169" fontId="2" fillId="0" borderId="20" xfId="0" applyNumberFormat="1" applyFont="1" applyBorder="1" applyAlignment="1">
      <alignment horizontal="center"/>
    </xf>
    <xf numFmtId="164" fontId="2" fillId="0" borderId="20" xfId="0" applyNumberFormat="1" applyFont="1" applyBorder="1" applyAlignment="1">
      <alignment horizontal="center"/>
    </xf>
    <xf numFmtId="164" fontId="2" fillId="0" borderId="20" xfId="0" applyNumberFormat="1" applyFont="1" applyBorder="1" applyAlignment="1">
      <alignment horizontal="center"/>
    </xf>
    <xf numFmtId="0" fontId="2" fillId="0" borderId="20" xfId="0" applyFont="1" applyBorder="1" applyAlignment="1">
      <alignment horizontal="center"/>
    </xf>
    <xf numFmtId="165" fontId="7" fillId="0" borderId="4" xfId="0" applyNumberFormat="1" applyFont="1" applyBorder="1" applyAlignment="1">
      <alignment horizontal="center" wrapText="1"/>
    </xf>
    <xf numFmtId="3" fontId="2" fillId="0" borderId="4" xfId="0" applyNumberFormat="1" applyFont="1" applyBorder="1" applyAlignment="1">
      <alignment horizontal="center"/>
    </xf>
    <xf numFmtId="166" fontId="2" fillId="0" borderId="4" xfId="0" applyNumberFormat="1" applyFont="1" applyBorder="1" applyAlignment="1">
      <alignment horizontal="center"/>
    </xf>
    <xf numFmtId="165" fontId="7" fillId="7" borderId="4" xfId="0" applyNumberFormat="1" applyFont="1" applyFill="1" applyBorder="1" applyAlignment="1">
      <alignment horizontal="center" wrapText="1"/>
    </xf>
    <xf numFmtId="3" fontId="2" fillId="7" borderId="4" xfId="0" applyNumberFormat="1" applyFont="1" applyFill="1" applyBorder="1" applyAlignment="1">
      <alignment horizontal="center"/>
    </xf>
    <xf numFmtId="166" fontId="2" fillId="7" borderId="4" xfId="0" applyNumberFormat="1" applyFont="1" applyFill="1" applyBorder="1" applyAlignment="1">
      <alignment horizontal="center"/>
    </xf>
    <xf numFmtId="165" fontId="7" fillId="0" borderId="20" xfId="0" applyNumberFormat="1" applyFont="1" applyBorder="1" applyAlignment="1">
      <alignment horizontal="center" wrapText="1"/>
    </xf>
    <xf numFmtId="3" fontId="2" fillId="0" borderId="20" xfId="0" applyNumberFormat="1" applyFont="1" applyBorder="1" applyAlignment="1">
      <alignment horizontal="center"/>
    </xf>
    <xf numFmtId="166" fontId="2" fillId="0" borderId="20" xfId="0" applyNumberFormat="1" applyFont="1" applyBorder="1" applyAlignment="1">
      <alignment horizontal="center"/>
    </xf>
    <xf numFmtId="0" fontId="2" fillId="8" borderId="4" xfId="0" applyFont="1" applyFill="1" applyBorder="1" applyAlignment="1">
      <alignment wrapText="1"/>
    </xf>
    <xf numFmtId="0" fontId="2" fillId="8" borderId="4" xfId="0" applyFont="1" applyFill="1" applyBorder="1" applyAlignment="1">
      <alignment wrapText="1"/>
    </xf>
    <xf numFmtId="170" fontId="11" fillId="0" borderId="20" xfId="0" applyNumberFormat="1" applyFont="1" applyBorder="1" applyAlignment="1">
      <alignment horizontal="center"/>
    </xf>
    <xf numFmtId="165" fontId="2" fillId="0" borderId="4" xfId="0" applyNumberFormat="1" applyFont="1" applyBorder="1" applyAlignment="1">
      <alignment horizontal="center" wrapText="1"/>
    </xf>
    <xf numFmtId="165" fontId="7" fillId="6" borderId="20" xfId="0" applyNumberFormat="1" applyFont="1" applyFill="1" applyBorder="1" applyAlignment="1">
      <alignment horizontal="center" wrapText="1"/>
    </xf>
    <xf numFmtId="10" fontId="2" fillId="7" borderId="20" xfId="0" applyNumberFormat="1" applyFont="1" applyFill="1" applyBorder="1" applyAlignment="1">
      <alignment horizontal="center"/>
    </xf>
    <xf numFmtId="169" fontId="2" fillId="7" borderId="20" xfId="0" applyNumberFormat="1" applyFont="1" applyFill="1" applyBorder="1" applyAlignment="1">
      <alignment horizontal="center"/>
    </xf>
    <xf numFmtId="164" fontId="2" fillId="7" borderId="20" xfId="0" applyNumberFormat="1" applyFont="1" applyFill="1" applyBorder="1" applyAlignment="1">
      <alignment horizontal="center"/>
    </xf>
    <xf numFmtId="164" fontId="2" fillId="7" borderId="20" xfId="0" applyNumberFormat="1" applyFont="1" applyFill="1" applyBorder="1" applyAlignment="1">
      <alignment horizontal="center"/>
    </xf>
    <xf numFmtId="0" fontId="2" fillId="7" borderId="20" xfId="0" applyFont="1" applyFill="1" applyBorder="1" applyAlignment="1">
      <alignment horizontal="center"/>
    </xf>
    <xf numFmtId="0" fontId="15" fillId="0" borderId="0" xfId="0" applyFont="1"/>
    <xf numFmtId="0" fontId="16" fillId="2" borderId="0" xfId="0" applyFont="1" applyFill="1"/>
    <xf numFmtId="0" fontId="17" fillId="0" borderId="0" xfId="0" applyFont="1"/>
    <xf numFmtId="0" fontId="18" fillId="2" borderId="0" xfId="0" applyFont="1" applyFill="1"/>
    <xf numFmtId="0" fontId="16" fillId="3" borderId="0" xfId="0" applyFont="1" applyFill="1" applyAlignment="1">
      <alignment vertical="center" wrapText="1"/>
    </xf>
    <xf numFmtId="0" fontId="19" fillId="4" borderId="5" xfId="0" applyFont="1" applyFill="1" applyBorder="1" applyAlignment="1">
      <alignment vertical="center" wrapText="1"/>
    </xf>
    <xf numFmtId="0" fontId="19" fillId="4" borderId="6" xfId="0" applyFont="1" applyFill="1" applyBorder="1" applyAlignment="1">
      <alignment vertical="center" wrapText="1"/>
    </xf>
    <xf numFmtId="0" fontId="19" fillId="4" borderId="7" xfId="0" applyFont="1" applyFill="1" applyBorder="1" applyAlignment="1">
      <alignment vertical="center" wrapText="1"/>
    </xf>
    <xf numFmtId="0" fontId="21" fillId="4" borderId="1" xfId="0" applyFont="1" applyFill="1" applyBorder="1" applyAlignment="1">
      <alignment horizontal="center" vertical="center" wrapText="1"/>
    </xf>
    <xf numFmtId="0" fontId="21" fillId="4" borderId="2" xfId="0" applyFont="1" applyFill="1" applyBorder="1" applyAlignment="1">
      <alignment horizontal="center" vertical="center" wrapText="1"/>
    </xf>
    <xf numFmtId="0" fontId="21" fillId="4" borderId="3" xfId="0" applyFont="1" applyFill="1" applyBorder="1" applyAlignment="1">
      <alignment horizontal="center" vertical="center" wrapText="1"/>
    </xf>
    <xf numFmtId="0" fontId="15" fillId="0" borderId="0" xfId="0" applyFont="1" applyAlignment="1">
      <alignment wrapText="1"/>
    </xf>
    <xf numFmtId="0" fontId="22" fillId="3" borderId="0" xfId="0" applyFont="1" applyFill="1" applyAlignment="1">
      <alignment vertical="center"/>
    </xf>
    <xf numFmtId="0" fontId="23" fillId="4" borderId="1" xfId="0" applyFont="1" applyFill="1" applyBorder="1" applyAlignment="1">
      <alignment vertical="center" wrapText="1"/>
    </xf>
    <xf numFmtId="0" fontId="23" fillId="4" borderId="2" xfId="0" applyFont="1" applyFill="1" applyBorder="1" applyAlignment="1">
      <alignment vertical="center" wrapText="1"/>
    </xf>
    <xf numFmtId="0" fontId="23" fillId="4" borderId="3" xfId="0" applyFont="1" applyFill="1" applyBorder="1" applyAlignment="1">
      <alignment vertical="center" wrapText="1"/>
    </xf>
    <xf numFmtId="0" fontId="24" fillId="5" borderId="4" xfId="0" applyFont="1" applyFill="1" applyBorder="1" applyAlignment="1">
      <alignment horizontal="center" vertical="center" wrapText="1"/>
    </xf>
    <xf numFmtId="0" fontId="24" fillId="5" borderId="4" xfId="0" applyFont="1" applyFill="1" applyBorder="1" applyAlignment="1">
      <alignment horizontal="center" vertical="center" wrapText="1"/>
    </xf>
    <xf numFmtId="0" fontId="15" fillId="0" borderId="4" xfId="0" applyFont="1" applyBorder="1" applyAlignment="1">
      <alignment wrapText="1"/>
    </xf>
    <xf numFmtId="165" fontId="25" fillId="6" borderId="4" xfId="0" applyNumberFormat="1" applyFont="1" applyFill="1" applyBorder="1" applyAlignment="1">
      <alignment horizontal="center" wrapText="1"/>
    </xf>
    <xf numFmtId="0" fontId="26" fillId="0" borderId="4" xfId="0" applyFont="1" applyBorder="1" applyAlignment="1">
      <alignment wrapText="1"/>
    </xf>
    <xf numFmtId="0" fontId="15" fillId="0" borderId="4" xfId="0" applyFont="1" applyBorder="1" applyAlignment="1">
      <alignment wrapText="1"/>
    </xf>
    <xf numFmtId="164" fontId="25" fillId="6" borderId="4" xfId="0" applyNumberFormat="1" applyFont="1" applyFill="1" applyBorder="1" applyAlignment="1">
      <alignment horizontal="center" wrapText="1"/>
    </xf>
    <xf numFmtId="0" fontId="15" fillId="0" borderId="20" xfId="0" applyFont="1" applyBorder="1" applyAlignment="1">
      <alignment wrapText="1"/>
    </xf>
    <xf numFmtId="164" fontId="25" fillId="6" borderId="20" xfId="0" applyNumberFormat="1" applyFont="1" applyFill="1" applyBorder="1" applyAlignment="1">
      <alignment horizontal="center" wrapText="1"/>
    </xf>
    <xf numFmtId="0" fontId="26" fillId="0" borderId="20" xfId="0" applyFont="1" applyBorder="1" applyAlignment="1">
      <alignment wrapText="1"/>
    </xf>
    <xf numFmtId="0" fontId="15" fillId="0" borderId="20" xfId="0" applyFont="1" applyBorder="1" applyAlignment="1">
      <alignment wrapText="1"/>
    </xf>
    <xf numFmtId="0" fontId="21" fillId="4" borderId="5" xfId="0" applyFont="1" applyFill="1" applyBorder="1" applyAlignment="1">
      <alignment horizontal="center" vertical="center" wrapText="1"/>
    </xf>
    <xf numFmtId="0" fontId="21" fillId="4" borderId="6" xfId="0" applyFont="1" applyFill="1" applyBorder="1" applyAlignment="1">
      <alignment horizontal="center" vertical="center" wrapText="1"/>
    </xf>
    <xf numFmtId="0" fontId="21" fillId="4" borderId="7" xfId="0" applyFont="1" applyFill="1" applyBorder="1" applyAlignment="1">
      <alignment horizontal="center" vertical="center" wrapText="1"/>
    </xf>
    <xf numFmtId="164" fontId="27" fillId="0" borderId="4" xfId="0" applyNumberFormat="1" applyFont="1" applyBorder="1" applyAlignment="1">
      <alignment horizontal="center"/>
    </xf>
    <xf numFmtId="0" fontId="15" fillId="8" borderId="4" xfId="0" applyFont="1" applyFill="1" applyBorder="1" applyAlignment="1">
      <alignment wrapText="1"/>
    </xf>
    <xf numFmtId="0" fontId="15" fillId="8" borderId="4" xfId="0" applyFont="1" applyFill="1" applyBorder="1" applyAlignment="1">
      <alignment wrapText="1"/>
    </xf>
    <xf numFmtId="164" fontId="24" fillId="6" borderId="4" xfId="0" applyNumberFormat="1" applyFont="1" applyFill="1" applyBorder="1" applyAlignment="1">
      <alignment horizontal="center"/>
    </xf>
    <xf numFmtId="164" fontId="27" fillId="0" borderId="20" xfId="0" applyNumberFormat="1" applyFont="1" applyBorder="1" applyAlignment="1">
      <alignment horizontal="center"/>
    </xf>
    <xf numFmtId="0" fontId="28" fillId="6" borderId="15" xfId="0" applyFont="1" applyFill="1" applyBorder="1" applyAlignment="1">
      <alignment vertical="center" wrapText="1"/>
    </xf>
    <xf numFmtId="0" fontId="28" fillId="6" borderId="16" xfId="0" applyFont="1" applyFill="1" applyBorder="1" applyAlignment="1">
      <alignment vertical="center" wrapText="1"/>
    </xf>
    <xf numFmtId="0" fontId="28" fillId="6" borderId="14" xfId="0" applyFont="1" applyFill="1" applyBorder="1" applyAlignment="1">
      <alignment vertical="center" wrapText="1"/>
    </xf>
    <xf numFmtId="0" fontId="25" fillId="0" borderId="4" xfId="0" applyFont="1" applyBorder="1" applyAlignment="1">
      <alignment horizontal="center"/>
    </xf>
    <xf numFmtId="164" fontId="25" fillId="0" borderId="4" xfId="0" applyNumberFormat="1" applyFont="1" applyBorder="1" applyAlignment="1">
      <alignment horizontal="center"/>
    </xf>
    <xf numFmtId="164" fontId="15" fillId="0" borderId="4" xfId="0" applyNumberFormat="1" applyFont="1" applyBorder="1" applyAlignment="1">
      <alignment horizontal="center"/>
    </xf>
    <xf numFmtId="9" fontId="15" fillId="0" borderId="4" xfId="0" applyNumberFormat="1" applyFont="1" applyBorder="1" applyAlignment="1">
      <alignment horizontal="center"/>
    </xf>
    <xf numFmtId="0" fontId="15" fillId="7" borderId="4" xfId="0" applyFont="1" applyFill="1" applyBorder="1" applyAlignment="1">
      <alignment wrapText="1"/>
    </xf>
    <xf numFmtId="0" fontId="25" fillId="7" borderId="4" xfId="0" applyFont="1" applyFill="1" applyBorder="1" applyAlignment="1">
      <alignment horizontal="center"/>
    </xf>
    <xf numFmtId="164" fontId="25" fillId="7" borderId="4" xfId="0" applyNumberFormat="1" applyFont="1" applyFill="1" applyBorder="1" applyAlignment="1">
      <alignment horizontal="center"/>
    </xf>
    <xf numFmtId="164" fontId="15" fillId="7" borderId="4" xfId="0" applyNumberFormat="1" applyFont="1" applyFill="1" applyBorder="1" applyAlignment="1">
      <alignment horizontal="center"/>
    </xf>
    <xf numFmtId="9" fontId="15" fillId="7" borderId="4" xfId="0" applyNumberFormat="1" applyFont="1" applyFill="1" applyBorder="1" applyAlignment="1">
      <alignment horizontal="center"/>
    </xf>
    <xf numFmtId="0" fontId="15" fillId="7" borderId="20" xfId="0" applyFont="1" applyFill="1" applyBorder="1" applyAlignment="1">
      <alignment wrapText="1"/>
    </xf>
    <xf numFmtId="0" fontId="25" fillId="7" borderId="20" xfId="0" applyFont="1" applyFill="1" applyBorder="1" applyAlignment="1">
      <alignment horizontal="center"/>
    </xf>
    <xf numFmtId="164" fontId="25" fillId="7" borderId="20" xfId="0" applyNumberFormat="1" applyFont="1" applyFill="1" applyBorder="1" applyAlignment="1">
      <alignment horizontal="center"/>
    </xf>
    <xf numFmtId="164" fontId="15" fillId="7" borderId="20" xfId="0" applyNumberFormat="1" applyFont="1" applyFill="1" applyBorder="1" applyAlignment="1">
      <alignment horizontal="center"/>
    </xf>
    <xf numFmtId="9" fontId="15" fillId="7" borderId="20" xfId="0" applyNumberFormat="1" applyFont="1" applyFill="1" applyBorder="1" applyAlignment="1">
      <alignment horizontal="center"/>
    </xf>
    <xf numFmtId="0" fontId="27" fillId="8" borderId="21" xfId="0" applyFont="1" applyFill="1" applyBorder="1" applyAlignment="1">
      <alignment wrapText="1"/>
    </xf>
    <xf numFmtId="0" fontId="27" fillId="8" borderId="21" xfId="0" applyFont="1" applyFill="1" applyBorder="1" applyAlignment="1">
      <alignment horizontal="center"/>
    </xf>
    <xf numFmtId="164" fontId="27" fillId="8" borderId="21" xfId="0" applyNumberFormat="1" applyFont="1" applyFill="1" applyBorder="1" applyAlignment="1">
      <alignment horizontal="center"/>
    </xf>
    <xf numFmtId="49" fontId="27" fillId="8" borderId="21" xfId="0" applyNumberFormat="1" applyFont="1" applyFill="1" applyBorder="1" applyAlignment="1">
      <alignment horizontal="center"/>
    </xf>
    <xf numFmtId="164" fontId="29" fillId="0" borderId="4" xfId="0" applyNumberFormat="1" applyFont="1" applyBorder="1" applyAlignment="1">
      <alignment horizontal="center"/>
    </xf>
    <xf numFmtId="165" fontId="27" fillId="0" borderId="20" xfId="0" applyNumberFormat="1" applyFont="1" applyBorder="1" applyAlignment="1">
      <alignment horizontal="center"/>
    </xf>
    <xf numFmtId="10" fontId="27" fillId="0" borderId="4" xfId="0" applyNumberFormat="1" applyFont="1" applyBorder="1" applyAlignment="1">
      <alignment horizontal="center"/>
    </xf>
  </cellXfs>
  <cellStyles count="1">
    <cellStyle name="Normal" xfId="0" builtinId="0"/>
  </cellStyles>
  <dxfs count="2">
    <dxf>
      <font>
        <b/>
        <i val="0"/>
      </font>
      <fill>
        <patternFill patternType="solid">
          <fgColor indexed="64"/>
          <bgColor rgb="FFFFF4D6"/>
        </patternFill>
      </fill>
    </dxf>
    <dxf>
      <font>
        <b/>
        <i val="0"/>
      </font>
      <fill>
        <patternFill patternType="solid">
          <fgColor indexed="64"/>
          <bgColor rgb="FFFFF4D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Users/trichyravis/Library/Mobile%20Documents/com~apple~CloudDocs/01.%20Ravis%20Academics/16.%20BITs%20Hyderabad/0A.%20Courses/05.%20Financial%20Risk%20Management/03.%20Lecture%20Session%20Materials/09.%20Session%20No%209%20(3rd%20Oct%202026)/3rd%20Oct%202026%20Al%20about%20CVA.xlsx" TargetMode="External"/><Relationship Id="rId2" Type="http://schemas.microsoft.com/office/2019/04/relationships/externalLinkLongPath" Target="3rd%20Oct%202026%20Al%20about%20CVA.xlsx?1E9BA085" TargetMode="External"/><Relationship Id="rId1" Type="http://schemas.openxmlformats.org/officeDocument/2006/relationships/externalLinkPath" Target="file:///1E9BA085/3rd%20Oct%202026%20Al%20about%20CV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Claude Log"/>
      <sheetName val="Contents"/>
      <sheetName val="CVA  Definition"/>
      <sheetName val="CVA of a Coupon Paying Bond"/>
      <sheetName val="PD, Harard Rate"/>
      <sheetName val="Credit Value Adjustment"/>
      <sheetName val="CVA Illustration "/>
      <sheetName val="CVA Example"/>
      <sheetName val="Marginal PD Table"/>
      <sheetName val="Expected Exposure Table"/>
      <sheetName val="CVA Q&amp;A"/>
      <sheetName val="DVA Concept"/>
      <sheetName val="DVA Examples"/>
      <sheetName val="CVA DVA Capital Case"/>
      <sheetName val="Simple CVA DVA Capital"/>
      <sheetName val="Simple Credit VaR"/>
      <sheetName val="Credit VaR Examples"/>
      <sheetName val="Credit VaR &amp; WCDR Q&amp;A"/>
      <sheetName val="Adjusted Exposure Example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554F9-7793-4841-8089-FD2A9B788883}">
  <sheetPr>
    <tabColor rgb="FF0B2E4F"/>
  </sheetPr>
  <dimension ref="A1:Z64"/>
  <sheetViews>
    <sheetView showGridLines="0" tabSelected="1" workbookViewId="0">
      <pane ySplit="2" topLeftCell="A46" activePane="bottomLeft" state="frozen"/>
      <selection activeCell="C66" sqref="C66:G66"/>
      <selection pane="bottomLeft" activeCell="B53" sqref="B53"/>
    </sheetView>
  </sheetViews>
  <sheetFormatPr baseColWidth="10" defaultRowHeight="29" x14ac:dyDescent="0.35"/>
  <cols>
    <col min="1" max="1" width="3.33203125" style="2" customWidth="1"/>
    <col min="2" max="2" width="70" style="2" customWidth="1"/>
    <col min="3" max="8" width="25" style="2" customWidth="1"/>
    <col min="9" max="26" width="10.83203125" style="2"/>
  </cols>
  <sheetData>
    <row r="1" spans="2:8" ht="48" customHeight="1" x14ac:dyDescent="0.45">
      <c r="B1" s="1" t="s">
        <v>0</v>
      </c>
      <c r="C1" s="1"/>
      <c r="D1" s="1"/>
      <c r="E1" s="1"/>
      <c r="F1" s="1"/>
      <c r="G1" s="1"/>
      <c r="H1" s="1"/>
    </row>
    <row r="2" spans="2:8" ht="41" customHeight="1" x14ac:dyDescent="0.35">
      <c r="B2" s="3" t="s">
        <v>1</v>
      </c>
      <c r="C2" s="3"/>
      <c r="D2" s="3"/>
      <c r="E2" s="3"/>
      <c r="F2" s="3"/>
      <c r="G2" s="3"/>
      <c r="H2" s="3"/>
    </row>
    <row r="4" spans="2:8" ht="41" customHeight="1" x14ac:dyDescent="0.35">
      <c r="B4" s="4" t="s">
        <v>2</v>
      </c>
      <c r="C4" s="4"/>
      <c r="D4" s="4"/>
      <c r="E4" s="4"/>
      <c r="F4" s="4"/>
      <c r="G4" s="4"/>
      <c r="H4" s="4"/>
    </row>
    <row r="5" spans="2:8" ht="126" customHeight="1" x14ac:dyDescent="0.35">
      <c r="B5" s="5" t="s">
        <v>3</v>
      </c>
      <c r="C5" s="6"/>
      <c r="D5" s="6"/>
      <c r="E5" s="6"/>
      <c r="F5" s="6"/>
      <c r="G5" s="6"/>
      <c r="H5" s="7"/>
    </row>
    <row r="7" spans="2:8" ht="41" customHeight="1" x14ac:dyDescent="0.35">
      <c r="B7" s="4" t="s">
        <v>4</v>
      </c>
      <c r="C7" s="4"/>
      <c r="D7" s="4"/>
      <c r="E7" s="4"/>
      <c r="F7" s="4"/>
      <c r="G7" s="4"/>
      <c r="H7" s="4"/>
    </row>
    <row r="8" spans="2:8" ht="41" customHeight="1" x14ac:dyDescent="0.35">
      <c r="B8" s="8" t="s">
        <v>5</v>
      </c>
      <c r="C8" s="8" t="s">
        <v>6</v>
      </c>
      <c r="D8" s="8" t="s">
        <v>7</v>
      </c>
    </row>
    <row r="9" spans="2:8" ht="41" customHeight="1" x14ac:dyDescent="0.35">
      <c r="B9" s="9" t="s">
        <v>8</v>
      </c>
      <c r="C9" s="10">
        <v>100</v>
      </c>
      <c r="D9" s="11" t="s">
        <v>9</v>
      </c>
    </row>
    <row r="10" spans="2:8" ht="41" customHeight="1" x14ac:dyDescent="0.35">
      <c r="B10" s="9" t="s">
        <v>10</v>
      </c>
      <c r="C10" s="12">
        <v>0.02</v>
      </c>
      <c r="D10" s="11" t="s">
        <v>11</v>
      </c>
    </row>
    <row r="11" spans="2:8" ht="41" customHeight="1" x14ac:dyDescent="0.35">
      <c r="B11" s="9" t="s">
        <v>12</v>
      </c>
      <c r="C11" s="10">
        <v>50</v>
      </c>
      <c r="D11" s="11" t="s">
        <v>9</v>
      </c>
    </row>
    <row r="12" spans="2:8" ht="41" customHeight="1" x14ac:dyDescent="0.35">
      <c r="B12" s="9" t="s">
        <v>13</v>
      </c>
      <c r="C12" s="12">
        <v>0.05</v>
      </c>
      <c r="D12" s="11" t="s">
        <v>11</v>
      </c>
    </row>
    <row r="13" spans="2:8" ht="41" customHeight="1" x14ac:dyDescent="0.35">
      <c r="B13" s="9" t="s">
        <v>14</v>
      </c>
      <c r="C13" s="12">
        <v>0.4</v>
      </c>
      <c r="D13" s="11" t="s">
        <v>15</v>
      </c>
    </row>
    <row r="14" spans="2:8" ht="41" customHeight="1" x14ac:dyDescent="0.35">
      <c r="B14" s="9" t="s">
        <v>16</v>
      </c>
      <c r="C14" s="12">
        <v>0.99</v>
      </c>
      <c r="D14" s="11" t="s">
        <v>11</v>
      </c>
    </row>
    <row r="15" spans="2:8" x14ac:dyDescent="0.35">
      <c r="B15" s="13"/>
    </row>
    <row r="16" spans="2:8" ht="41" customHeight="1" x14ac:dyDescent="0.35">
      <c r="B16" s="14" t="s">
        <v>17</v>
      </c>
      <c r="C16" s="4"/>
      <c r="D16" s="4"/>
      <c r="E16" s="4"/>
      <c r="F16" s="4"/>
      <c r="G16" s="4"/>
      <c r="H16" s="4"/>
    </row>
    <row r="17" spans="2:8" ht="41" customHeight="1" x14ac:dyDescent="0.35">
      <c r="B17" s="15" t="s">
        <v>18</v>
      </c>
      <c r="C17" s="16"/>
      <c r="D17" s="16"/>
      <c r="E17" s="16"/>
      <c r="F17" s="16"/>
      <c r="G17" s="16"/>
      <c r="H17" s="17"/>
    </row>
    <row r="18" spans="2:8" ht="41" customHeight="1" x14ac:dyDescent="0.35">
      <c r="B18" s="8" t="s">
        <v>5</v>
      </c>
      <c r="C18" s="18" t="s">
        <v>19</v>
      </c>
      <c r="D18" s="18"/>
      <c r="E18" s="18"/>
      <c r="F18" s="18"/>
      <c r="G18" s="18"/>
      <c r="H18" s="8" t="s">
        <v>6</v>
      </c>
    </row>
    <row r="19" spans="2:8" ht="41" customHeight="1" x14ac:dyDescent="0.35">
      <c r="B19" s="9" t="s">
        <v>20</v>
      </c>
      <c r="C19" s="19" t="str">
        <f>TEXT(C9,"₹#,##0")&amp;" × (1 − "&amp;TEXT(C13,"0%")&amp;")"</f>
        <v>₹100 × (1 − 40%)</v>
      </c>
      <c r="D19" s="19"/>
      <c r="E19" s="19"/>
      <c r="F19" s="19"/>
      <c r="G19" s="19"/>
      <c r="H19" s="20">
        <f>C9*(1-C13)</f>
        <v>60</v>
      </c>
    </row>
    <row r="20" spans="2:8" ht="41" customHeight="1" x14ac:dyDescent="0.35">
      <c r="B20" s="9" t="s">
        <v>21</v>
      </c>
      <c r="C20" s="19" t="str">
        <f>TEXT(C11,"₹#,##0")&amp;" × (1 − "&amp;TEXT(C13,"0%")&amp;")"</f>
        <v>₹50 × (1 − 40%)</v>
      </c>
      <c r="D20" s="19"/>
      <c r="E20" s="19"/>
      <c r="F20" s="19"/>
      <c r="G20" s="19"/>
      <c r="H20" s="20">
        <f>C11*(1-C13)</f>
        <v>30</v>
      </c>
    </row>
    <row r="21" spans="2:8" x14ac:dyDescent="0.35">
      <c r="B21" s="13"/>
    </row>
    <row r="22" spans="2:8" ht="41" customHeight="1" x14ac:dyDescent="0.35">
      <c r="B22" s="14" t="s">
        <v>22</v>
      </c>
      <c r="C22" s="4"/>
      <c r="D22" s="4"/>
      <c r="E22" s="4"/>
      <c r="F22" s="4"/>
      <c r="G22" s="4"/>
      <c r="H22" s="4"/>
    </row>
    <row r="23" spans="2:8" ht="41" customHeight="1" x14ac:dyDescent="0.35">
      <c r="B23" s="15" t="s">
        <v>23</v>
      </c>
      <c r="C23" s="16"/>
      <c r="D23" s="16"/>
      <c r="E23" s="16"/>
      <c r="F23" s="16"/>
      <c r="G23" s="16"/>
      <c r="H23" s="21"/>
    </row>
    <row r="24" spans="2:8" ht="69" customHeight="1" x14ac:dyDescent="0.35">
      <c r="B24" s="8" t="s">
        <v>24</v>
      </c>
      <c r="C24" s="8" t="s">
        <v>25</v>
      </c>
      <c r="D24" s="8" t="s">
        <v>26</v>
      </c>
      <c r="E24" s="8" t="s">
        <v>27</v>
      </c>
      <c r="F24" s="8" t="s">
        <v>28</v>
      </c>
      <c r="G24" s="8" t="s">
        <v>29</v>
      </c>
    </row>
    <row r="25" spans="2:8" ht="41" customHeight="1" x14ac:dyDescent="0.35">
      <c r="B25" s="9" t="s">
        <v>30</v>
      </c>
      <c r="C25" s="11" t="s">
        <v>31</v>
      </c>
      <c r="D25" s="11" t="s">
        <v>31</v>
      </c>
      <c r="E25" s="22">
        <f>(1-C10)*(1-C12)</f>
        <v>0.93099999999999994</v>
      </c>
      <c r="F25" s="23">
        <v>0</v>
      </c>
      <c r="G25" s="22">
        <f>E25</f>
        <v>0.93099999999999994</v>
      </c>
    </row>
    <row r="26" spans="2:8" ht="41" customHeight="1" x14ac:dyDescent="0.35">
      <c r="B26" s="24" t="s">
        <v>32</v>
      </c>
      <c r="C26" s="25" t="s">
        <v>31</v>
      </c>
      <c r="D26" s="25" t="s">
        <v>33</v>
      </c>
      <c r="E26" s="26">
        <f>(1-C10)*C12</f>
        <v>4.9000000000000002E-2</v>
      </c>
      <c r="F26" s="27">
        <f>H20</f>
        <v>30</v>
      </c>
      <c r="G26" s="26">
        <f>G25+E26</f>
        <v>0.98</v>
      </c>
    </row>
    <row r="27" spans="2:8" ht="41" customHeight="1" x14ac:dyDescent="0.35">
      <c r="B27" s="9" t="s">
        <v>34</v>
      </c>
      <c r="C27" s="11" t="s">
        <v>33</v>
      </c>
      <c r="D27" s="11" t="s">
        <v>31</v>
      </c>
      <c r="E27" s="22">
        <f>C10*(1-C12)</f>
        <v>1.9E-2</v>
      </c>
      <c r="F27" s="23">
        <f>H19</f>
        <v>60</v>
      </c>
      <c r="G27" s="22">
        <f>G26+E27</f>
        <v>0.999</v>
      </c>
    </row>
    <row r="28" spans="2:8" ht="41" customHeight="1" x14ac:dyDescent="0.35">
      <c r="B28" s="24" t="s">
        <v>35</v>
      </c>
      <c r="C28" s="25" t="s">
        <v>33</v>
      </c>
      <c r="D28" s="25" t="s">
        <v>33</v>
      </c>
      <c r="E28" s="26">
        <f>C10*C12</f>
        <v>1E-3</v>
      </c>
      <c r="F28" s="27">
        <f>H19+H20</f>
        <v>90</v>
      </c>
      <c r="G28" s="26">
        <f>G27+E28</f>
        <v>1</v>
      </c>
    </row>
    <row r="29" spans="2:8" ht="41" customHeight="1" x14ac:dyDescent="0.35">
      <c r="B29" s="28" t="s">
        <v>36</v>
      </c>
      <c r="C29" s="29"/>
      <c r="D29" s="30"/>
      <c r="E29" s="31">
        <f>SUM(E25:E28)</f>
        <v>1</v>
      </c>
      <c r="F29" s="32"/>
      <c r="G29" s="32"/>
    </row>
    <row r="30" spans="2:8" x14ac:dyDescent="0.35">
      <c r="B30" s="13"/>
    </row>
    <row r="31" spans="2:8" ht="41" customHeight="1" x14ac:dyDescent="0.35">
      <c r="B31" s="14" t="s">
        <v>37</v>
      </c>
      <c r="C31" s="4"/>
      <c r="D31" s="4"/>
      <c r="E31" s="4"/>
      <c r="F31" s="4"/>
      <c r="G31" s="4"/>
      <c r="H31" s="4"/>
    </row>
    <row r="32" spans="2:8" ht="69" customHeight="1" x14ac:dyDescent="0.35">
      <c r="B32" s="15" t="s">
        <v>38</v>
      </c>
      <c r="C32" s="16"/>
      <c r="D32" s="16"/>
      <c r="E32" s="16"/>
      <c r="F32" s="16"/>
      <c r="G32" s="16"/>
      <c r="H32" s="17"/>
    </row>
    <row r="33" spans="2:8" ht="41" customHeight="1" x14ac:dyDescent="0.35">
      <c r="B33" s="8" t="s">
        <v>5</v>
      </c>
      <c r="C33" s="18" t="s">
        <v>19</v>
      </c>
      <c r="D33" s="18"/>
      <c r="E33" s="18"/>
      <c r="F33" s="18"/>
      <c r="G33" s="18"/>
      <c r="H33" s="8" t="s">
        <v>6</v>
      </c>
    </row>
    <row r="34" spans="2:8" ht="41" customHeight="1" x14ac:dyDescent="0.35">
      <c r="B34" s="9" t="s">
        <v>39</v>
      </c>
      <c r="C34" s="19" t="s">
        <v>40</v>
      </c>
      <c r="D34" s="19"/>
      <c r="E34" s="19"/>
      <c r="F34" s="19"/>
      <c r="G34" s="19"/>
      <c r="H34" s="20">
        <f>E25*F25+E26*F26+E27*F27+E28*F28</f>
        <v>2.6999999999999997</v>
      </c>
    </row>
    <row r="35" spans="2:8" ht="69" customHeight="1" x14ac:dyDescent="0.35">
      <c r="B35" s="9" t="s">
        <v>41</v>
      </c>
      <c r="C35" s="19" t="s">
        <v>42</v>
      </c>
      <c r="D35" s="19"/>
      <c r="E35" s="19"/>
      <c r="F35" s="19"/>
      <c r="G35" s="19"/>
      <c r="H35" s="20">
        <f>C10*H19+C12*H20</f>
        <v>2.7</v>
      </c>
    </row>
    <row r="36" spans="2:8" ht="41" customHeight="1" x14ac:dyDescent="0.35">
      <c r="B36" s="9" t="s">
        <v>43</v>
      </c>
      <c r="C36" s="19" t="s">
        <v>44</v>
      </c>
      <c r="D36" s="19"/>
      <c r="E36" s="19"/>
      <c r="F36" s="19"/>
      <c r="G36" s="19"/>
      <c r="H36" s="20">
        <f>_xlfn.XLOOKUP(C14,G25:G28,F25:F28,,1)</f>
        <v>60</v>
      </c>
    </row>
    <row r="37" spans="2:8" ht="41" customHeight="1" x14ac:dyDescent="0.35">
      <c r="B37" s="9" t="s">
        <v>45</v>
      </c>
      <c r="C37" s="19" t="s">
        <v>46</v>
      </c>
      <c r="D37" s="19"/>
      <c r="E37" s="19"/>
      <c r="F37" s="19"/>
      <c r="G37" s="19"/>
      <c r="H37" s="33">
        <f>H36-H34</f>
        <v>57.3</v>
      </c>
    </row>
    <row r="38" spans="2:8" ht="69" customHeight="1" x14ac:dyDescent="0.35">
      <c r="B38" s="34" t="str">
        <f>"Answer: On average the bank loses "&amp;TEXT(H34,"₹0.00")&amp;" cr a year (EL). In "&amp;TEXT(C14,"0%")&amp;" of years the loss will not exceed "&amp;TEXT(H36,"₹0.00")&amp;" cr, so Credit VaR = "&amp;TEXT(H36,"₹0.00")&amp;" − "&amp;TEXT(H34,"₹0.00")&amp;" = "&amp;TEXT(H37,"₹0.00")&amp;" cr – the capital the bank should hold."</f>
        <v>Answer: On average the bank loses ₹2.70 cr a year (EL). In 99% of years the loss will not exceed ₹60.00 cr, so Credit VaR = ₹60.00 − ₹2.70 = ₹57.30 cr – the capital the bank should hold.</v>
      </c>
      <c r="C38" s="35"/>
      <c r="D38" s="35"/>
      <c r="E38" s="35"/>
      <c r="F38" s="35"/>
      <c r="G38" s="35"/>
      <c r="H38" s="36"/>
    </row>
    <row r="39" spans="2:8" x14ac:dyDescent="0.35">
      <c r="B39" s="13"/>
    </row>
    <row r="40" spans="2:8" ht="41" customHeight="1" x14ac:dyDescent="0.35">
      <c r="B40" s="14" t="s">
        <v>47</v>
      </c>
      <c r="C40" s="4"/>
      <c r="D40" s="4"/>
      <c r="E40" s="4"/>
      <c r="F40" s="4"/>
      <c r="G40" s="4"/>
      <c r="H40" s="4"/>
    </row>
    <row r="41" spans="2:8" ht="98" customHeight="1" x14ac:dyDescent="0.35">
      <c r="B41" s="37" t="s">
        <v>48</v>
      </c>
      <c r="C41" s="38"/>
      <c r="D41" s="38"/>
      <c r="E41" s="6"/>
      <c r="F41" s="6"/>
      <c r="G41" s="6"/>
      <c r="H41" s="7"/>
    </row>
    <row r="42" spans="2:8" ht="41" customHeight="1" x14ac:dyDescent="0.35">
      <c r="B42" s="8" t="s">
        <v>5</v>
      </c>
      <c r="C42" s="8" t="s">
        <v>6</v>
      </c>
      <c r="D42" s="8" t="s">
        <v>7</v>
      </c>
    </row>
    <row r="43" spans="2:8" ht="41" customHeight="1" x14ac:dyDescent="0.35">
      <c r="B43" s="9" t="s">
        <v>49</v>
      </c>
      <c r="C43" s="10">
        <v>1000</v>
      </c>
      <c r="D43" s="11" t="s">
        <v>9</v>
      </c>
    </row>
    <row r="44" spans="2:8" ht="41" customHeight="1" x14ac:dyDescent="0.35">
      <c r="B44" s="9" t="s">
        <v>50</v>
      </c>
      <c r="C44" s="12">
        <v>0.01</v>
      </c>
      <c r="D44" s="11" t="s">
        <v>11</v>
      </c>
    </row>
    <row r="45" spans="2:8" ht="41" customHeight="1" x14ac:dyDescent="0.35">
      <c r="B45" s="9" t="s">
        <v>51</v>
      </c>
      <c r="C45" s="12">
        <v>0.6</v>
      </c>
      <c r="D45" s="11" t="s">
        <v>15</v>
      </c>
    </row>
    <row r="46" spans="2:8" ht="41" customHeight="1" x14ac:dyDescent="0.35">
      <c r="B46" s="9" t="s">
        <v>52</v>
      </c>
      <c r="C46" s="12">
        <v>0.1</v>
      </c>
      <c r="D46" s="11" t="s">
        <v>53</v>
      </c>
    </row>
    <row r="47" spans="2:8" ht="41" customHeight="1" x14ac:dyDescent="0.35">
      <c r="B47" s="9" t="s">
        <v>54</v>
      </c>
      <c r="C47" s="12">
        <v>0.999</v>
      </c>
      <c r="D47" s="11" t="s">
        <v>55</v>
      </c>
    </row>
    <row r="48" spans="2:8" x14ac:dyDescent="0.35">
      <c r="B48" s="13"/>
    </row>
    <row r="49" spans="2:8" ht="41" customHeight="1" x14ac:dyDescent="0.35">
      <c r="B49" s="15" t="s">
        <v>56</v>
      </c>
      <c r="C49" s="16"/>
      <c r="D49" s="16"/>
      <c r="E49" s="16"/>
      <c r="F49" s="16"/>
      <c r="G49" s="16"/>
      <c r="H49" s="17"/>
    </row>
    <row r="50" spans="2:8" ht="41" customHeight="1" x14ac:dyDescent="0.35">
      <c r="B50" s="8" t="s">
        <v>5</v>
      </c>
      <c r="C50" s="18" t="s">
        <v>19</v>
      </c>
      <c r="D50" s="18"/>
      <c r="E50" s="18"/>
      <c r="F50" s="18"/>
      <c r="G50" s="18"/>
      <c r="H50" s="8" t="s">
        <v>6</v>
      </c>
    </row>
    <row r="51" spans="2:8" ht="41" customHeight="1" x14ac:dyDescent="0.35">
      <c r="B51" s="9" t="s">
        <v>57</v>
      </c>
      <c r="C51" s="19" t="s">
        <v>58</v>
      </c>
      <c r="D51" s="19"/>
      <c r="E51" s="19"/>
      <c r="F51" s="19"/>
      <c r="G51" s="19"/>
      <c r="H51" s="39">
        <f>_xlfn.NORM.S.INV(C44)</f>
        <v>-2.3263478740408408</v>
      </c>
    </row>
    <row r="52" spans="2:8" ht="41" customHeight="1" x14ac:dyDescent="0.35">
      <c r="B52" s="9" t="s">
        <v>59</v>
      </c>
      <c r="C52" s="19" t="s">
        <v>60</v>
      </c>
      <c r="D52" s="19"/>
      <c r="E52" s="19"/>
      <c r="F52" s="19"/>
      <c r="G52" s="19"/>
      <c r="H52" s="39">
        <f>_xlfn.NORM.S.INV(C47)</f>
        <v>3.0902323061678132</v>
      </c>
    </row>
    <row r="53" spans="2:8" ht="41" customHeight="1" x14ac:dyDescent="0.35">
      <c r="B53" s="9" t="s">
        <v>61</v>
      </c>
      <c r="C53" s="19" t="s">
        <v>62</v>
      </c>
      <c r="D53" s="19"/>
      <c r="E53" s="19"/>
      <c r="F53" s="19"/>
      <c r="G53" s="19"/>
      <c r="H53" s="39">
        <f>H51+SQRT(C46)*H52</f>
        <v>-1.349130615388332</v>
      </c>
    </row>
    <row r="54" spans="2:8" ht="41" customHeight="1" x14ac:dyDescent="0.35">
      <c r="B54" s="9" t="s">
        <v>63</v>
      </c>
      <c r="C54" s="19" t="s">
        <v>64</v>
      </c>
      <c r="D54" s="19"/>
      <c r="E54" s="19"/>
      <c r="F54" s="19"/>
      <c r="G54" s="19"/>
      <c r="H54" s="39">
        <f>H53/SQRT(1-C46)</f>
        <v>-1.4221085352305802</v>
      </c>
    </row>
    <row r="55" spans="2:8" ht="41" customHeight="1" x14ac:dyDescent="0.35">
      <c r="B55" s="9" t="s">
        <v>65</v>
      </c>
      <c r="C55" s="19" t="s">
        <v>66</v>
      </c>
      <c r="D55" s="19"/>
      <c r="E55" s="19"/>
      <c r="F55" s="19"/>
      <c r="G55" s="19"/>
      <c r="H55" s="40">
        <f>_xlfn.NORM.S.DIST(H54,TRUE)</f>
        <v>7.7497372687011221E-2</v>
      </c>
    </row>
    <row r="56" spans="2:8" ht="41" customHeight="1" x14ac:dyDescent="0.35">
      <c r="B56" s="9" t="s">
        <v>67</v>
      </c>
      <c r="C56" s="19" t="s">
        <v>68</v>
      </c>
      <c r="D56" s="19"/>
      <c r="E56" s="19"/>
      <c r="F56" s="19"/>
      <c r="G56" s="19"/>
      <c r="H56" s="20">
        <f>C43*C45*H55</f>
        <v>46.498423612206736</v>
      </c>
    </row>
    <row r="57" spans="2:8" ht="41" customHeight="1" x14ac:dyDescent="0.35">
      <c r="B57" s="9" t="s">
        <v>39</v>
      </c>
      <c r="C57" s="19" t="s">
        <v>69</v>
      </c>
      <c r="D57" s="19"/>
      <c r="E57" s="19"/>
      <c r="F57" s="19"/>
      <c r="G57" s="19"/>
      <c r="H57" s="20">
        <f>C43*C45*C44</f>
        <v>6</v>
      </c>
    </row>
    <row r="58" spans="2:8" ht="41" customHeight="1" x14ac:dyDescent="0.35">
      <c r="B58" s="9" t="s">
        <v>45</v>
      </c>
      <c r="C58" s="19" t="s">
        <v>70</v>
      </c>
      <c r="D58" s="19"/>
      <c r="E58" s="19"/>
      <c r="F58" s="19"/>
      <c r="G58" s="19"/>
      <c r="H58" s="33">
        <f>C43*C45*(H55-C44)</f>
        <v>40.498423612206736</v>
      </c>
    </row>
    <row r="59" spans="2:8" ht="69" customHeight="1" x14ac:dyDescent="0.35">
      <c r="B59" s="34" t="str">
        <f>"Answer: Normally "&amp;TEXT(C44,"0.0%")&amp;" of loans default, but in a 1-in-"&amp;TEXT(1/(1-C47),"#,##0")&amp;" bad year "&amp;TEXT(H55,"0.00%")&amp;" default. Loss = "&amp;TEXT(H56,"₹0.00")&amp;" cr, EL = "&amp;TEXT(H57,"₹0.00")&amp;" cr, so Credit VaR = "&amp;TEXT(H58,"₹0.00")&amp;" cr."</f>
        <v>Answer: Normally 1.0% of loans default, but in a 1-in-1,000 bad year 7.75% default. Loss = ₹46.50 cr, EL = ₹6.00 cr, so Credit VaR = ₹40.50 cr.</v>
      </c>
      <c r="C59" s="35"/>
      <c r="D59" s="35"/>
      <c r="E59" s="35"/>
      <c r="F59" s="35"/>
      <c r="G59" s="35"/>
      <c r="H59" s="36"/>
    </row>
    <row r="61" spans="2:8" ht="41" customHeight="1" x14ac:dyDescent="0.35">
      <c r="B61" s="4" t="s">
        <v>71</v>
      </c>
      <c r="C61" s="4"/>
      <c r="D61" s="4"/>
      <c r="E61" s="4"/>
      <c r="F61" s="4"/>
      <c r="G61" s="4"/>
      <c r="H61" s="4"/>
    </row>
    <row r="62" spans="2:8" ht="69" customHeight="1" x14ac:dyDescent="0.35">
      <c r="B62" s="41" t="s">
        <v>72</v>
      </c>
      <c r="C62" s="41"/>
      <c r="D62" s="41"/>
      <c r="E62" s="41"/>
      <c r="F62" s="41"/>
      <c r="G62" s="41"/>
      <c r="H62" s="41"/>
    </row>
    <row r="63" spans="2:8" ht="69" customHeight="1" x14ac:dyDescent="0.35">
      <c r="B63" s="41" t="s">
        <v>73</v>
      </c>
      <c r="C63" s="41"/>
      <c r="D63" s="41"/>
      <c r="E63" s="41"/>
      <c r="F63" s="41"/>
      <c r="G63" s="41"/>
      <c r="H63" s="41"/>
    </row>
    <row r="64" spans="2:8" ht="69" customHeight="1" x14ac:dyDescent="0.35">
      <c r="B64" s="41" t="s">
        <v>74</v>
      </c>
      <c r="C64" s="41"/>
      <c r="D64" s="41"/>
      <c r="E64" s="41"/>
      <c r="F64" s="41"/>
      <c r="G64" s="41"/>
      <c r="H64" s="41"/>
    </row>
  </sheetData>
  <mergeCells count="38">
    <mergeCell ref="B63:H63"/>
    <mergeCell ref="B64:H64"/>
    <mergeCell ref="C56:G56"/>
    <mergeCell ref="C57:G57"/>
    <mergeCell ref="C58:G58"/>
    <mergeCell ref="B59:H59"/>
    <mergeCell ref="B61:H61"/>
    <mergeCell ref="B62:H62"/>
    <mergeCell ref="C50:G50"/>
    <mergeCell ref="C51:G51"/>
    <mergeCell ref="C52:G52"/>
    <mergeCell ref="C53:G53"/>
    <mergeCell ref="C54:G54"/>
    <mergeCell ref="C55:G55"/>
    <mergeCell ref="C36:G36"/>
    <mergeCell ref="C37:G37"/>
    <mergeCell ref="B38:H38"/>
    <mergeCell ref="B40:H40"/>
    <mergeCell ref="B41:H41"/>
    <mergeCell ref="B49:H49"/>
    <mergeCell ref="B29:D29"/>
    <mergeCell ref="B31:H31"/>
    <mergeCell ref="B32:H32"/>
    <mergeCell ref="C33:G33"/>
    <mergeCell ref="C34:G34"/>
    <mergeCell ref="C35:G35"/>
    <mergeCell ref="B17:H17"/>
    <mergeCell ref="C18:G18"/>
    <mergeCell ref="C19:G19"/>
    <mergeCell ref="C20:G20"/>
    <mergeCell ref="B22:H22"/>
    <mergeCell ref="B23:H23"/>
    <mergeCell ref="B1:H1"/>
    <mergeCell ref="B2:H2"/>
    <mergeCell ref="B4:H4"/>
    <mergeCell ref="B5:H5"/>
    <mergeCell ref="B7:H7"/>
    <mergeCell ref="B16:H1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D0EA0-7C22-FB48-9392-C0CE9F7DDFF4}">
  <sheetPr>
    <tabColor rgb="FF0B2E4F"/>
  </sheetPr>
  <dimension ref="A1:Z78"/>
  <sheetViews>
    <sheetView showGridLines="0" workbookViewId="0">
      <pane ySplit="2" topLeftCell="A3" activePane="bottomLeft" state="frozen"/>
      <selection activeCell="C66" sqref="C66:G66"/>
      <selection pane="bottomLeft" activeCell="C66" sqref="C66:G66"/>
    </sheetView>
  </sheetViews>
  <sheetFormatPr baseColWidth="10" defaultRowHeight="29" x14ac:dyDescent="0.35"/>
  <cols>
    <col min="1" max="1" width="3.33203125" style="2" customWidth="1"/>
    <col min="2" max="2" width="70" style="2" customWidth="1"/>
    <col min="3" max="8" width="25" style="2" customWidth="1"/>
    <col min="9" max="26" width="10.83203125" style="2"/>
  </cols>
  <sheetData>
    <row r="1" spans="2:8" ht="48" customHeight="1" x14ac:dyDescent="0.45">
      <c r="B1" s="1" t="s">
        <v>75</v>
      </c>
      <c r="C1" s="1"/>
      <c r="D1" s="1"/>
      <c r="E1" s="1"/>
      <c r="F1" s="1"/>
      <c r="G1" s="1"/>
      <c r="H1" s="1"/>
    </row>
    <row r="2" spans="2:8" ht="41" customHeight="1" x14ac:dyDescent="0.35">
      <c r="B2" s="3" t="s">
        <v>76</v>
      </c>
      <c r="C2" s="3"/>
      <c r="D2" s="3"/>
      <c r="E2" s="3"/>
      <c r="F2" s="3"/>
      <c r="G2" s="3"/>
      <c r="H2" s="3"/>
    </row>
    <row r="4" spans="2:8" ht="41" customHeight="1" x14ac:dyDescent="0.35">
      <c r="B4" s="4" t="s">
        <v>77</v>
      </c>
      <c r="C4" s="4"/>
      <c r="D4" s="4"/>
      <c r="E4" s="4"/>
      <c r="F4" s="4"/>
      <c r="G4" s="4"/>
      <c r="H4" s="4"/>
    </row>
    <row r="5" spans="2:8" ht="69" customHeight="1" x14ac:dyDescent="0.35">
      <c r="B5" s="37" t="s">
        <v>78</v>
      </c>
      <c r="C5" s="38"/>
      <c r="D5" s="38"/>
      <c r="E5" s="6"/>
      <c r="F5" s="6"/>
      <c r="G5" s="6"/>
      <c r="H5" s="7"/>
    </row>
    <row r="6" spans="2:8" ht="41" customHeight="1" x14ac:dyDescent="0.35">
      <c r="B6" s="8" t="s">
        <v>5</v>
      </c>
      <c r="C6" s="8" t="s">
        <v>6</v>
      </c>
      <c r="D6" s="8" t="s">
        <v>7</v>
      </c>
    </row>
    <row r="7" spans="2:8" ht="41" customHeight="1" x14ac:dyDescent="0.35">
      <c r="B7" s="9" t="s">
        <v>79</v>
      </c>
      <c r="C7" s="10">
        <v>200</v>
      </c>
      <c r="D7" s="11" t="s">
        <v>9</v>
      </c>
    </row>
    <row r="8" spans="2:8" ht="41" customHeight="1" x14ac:dyDescent="0.35">
      <c r="B8" s="9" t="s">
        <v>80</v>
      </c>
      <c r="C8" s="12">
        <v>0.03</v>
      </c>
      <c r="D8" s="11" t="s">
        <v>11</v>
      </c>
    </row>
    <row r="9" spans="2:8" ht="41" customHeight="1" x14ac:dyDescent="0.35">
      <c r="B9" s="9" t="s">
        <v>81</v>
      </c>
      <c r="C9" s="12">
        <v>0.4</v>
      </c>
      <c r="D9" s="11" t="s">
        <v>15</v>
      </c>
    </row>
    <row r="10" spans="2:8" ht="41" customHeight="1" x14ac:dyDescent="0.35">
      <c r="B10" s="9" t="s">
        <v>82</v>
      </c>
      <c r="C10" s="12">
        <v>0.95</v>
      </c>
      <c r="D10" s="11" t="s">
        <v>11</v>
      </c>
    </row>
    <row r="11" spans="2:8" ht="41" customHeight="1" x14ac:dyDescent="0.35">
      <c r="B11" s="9" t="s">
        <v>83</v>
      </c>
      <c r="C11" s="12">
        <v>0.99</v>
      </c>
      <c r="D11" s="11" t="s">
        <v>11</v>
      </c>
    </row>
    <row r="12" spans="2:8" x14ac:dyDescent="0.35">
      <c r="B12" s="13"/>
    </row>
    <row r="13" spans="2:8" ht="41" customHeight="1" x14ac:dyDescent="0.35">
      <c r="B13" s="15" t="s">
        <v>84</v>
      </c>
      <c r="C13" s="16"/>
      <c r="D13" s="16"/>
      <c r="E13" s="16"/>
      <c r="F13" s="42"/>
      <c r="G13" s="42"/>
      <c r="H13" s="21"/>
    </row>
    <row r="14" spans="2:8" ht="69" customHeight="1" x14ac:dyDescent="0.35">
      <c r="B14" s="8" t="s">
        <v>85</v>
      </c>
      <c r="C14" s="8" t="s">
        <v>27</v>
      </c>
      <c r="D14" s="8" t="s">
        <v>28</v>
      </c>
      <c r="E14" s="8" t="s">
        <v>29</v>
      </c>
    </row>
    <row r="15" spans="2:8" ht="41" customHeight="1" x14ac:dyDescent="0.35">
      <c r="B15" s="9" t="s">
        <v>30</v>
      </c>
      <c r="C15" s="22">
        <f>1-C8</f>
        <v>0.97</v>
      </c>
      <c r="D15" s="23">
        <v>0</v>
      </c>
      <c r="E15" s="22">
        <f>C15</f>
        <v>0.97</v>
      </c>
    </row>
    <row r="16" spans="2:8" ht="41" customHeight="1" x14ac:dyDescent="0.35">
      <c r="B16" s="24" t="s">
        <v>86</v>
      </c>
      <c r="C16" s="26">
        <f>C8</f>
        <v>0.03</v>
      </c>
      <c r="D16" s="27">
        <f>C7*(1-C9)</f>
        <v>120</v>
      </c>
      <c r="E16" s="26">
        <f>E15+C16</f>
        <v>1</v>
      </c>
    </row>
    <row r="17" spans="2:8" x14ac:dyDescent="0.35">
      <c r="B17" s="13"/>
    </row>
    <row r="18" spans="2:8" ht="41" customHeight="1" x14ac:dyDescent="0.35">
      <c r="B18" s="8" t="s">
        <v>5</v>
      </c>
      <c r="C18" s="18" t="s">
        <v>19</v>
      </c>
      <c r="D18" s="18"/>
      <c r="E18" s="18"/>
      <c r="F18" s="18"/>
      <c r="G18" s="18"/>
      <c r="H18" s="8" t="s">
        <v>6</v>
      </c>
    </row>
    <row r="19" spans="2:8" ht="41" customHeight="1" x14ac:dyDescent="0.35">
      <c r="B19" s="9" t="s">
        <v>39</v>
      </c>
      <c r="C19" s="43" t="s">
        <v>87</v>
      </c>
      <c r="D19" s="43"/>
      <c r="E19" s="43"/>
      <c r="F19" s="43"/>
      <c r="G19" s="43"/>
      <c r="H19" s="44">
        <f>C16*D16</f>
        <v>3.5999999999999996</v>
      </c>
    </row>
    <row r="20" spans="2:8" ht="41" customHeight="1" x14ac:dyDescent="0.35">
      <c r="B20" s="9" t="s">
        <v>88</v>
      </c>
      <c r="C20" s="43" t="s">
        <v>89</v>
      </c>
      <c r="D20" s="43"/>
      <c r="E20" s="43"/>
      <c r="F20" s="43"/>
      <c r="G20" s="43"/>
      <c r="H20" s="44">
        <f>_xlfn.XLOOKUP(C10,E15:E16,D15:D16,,1)</f>
        <v>0</v>
      </c>
    </row>
    <row r="21" spans="2:8" ht="41" customHeight="1" x14ac:dyDescent="0.35">
      <c r="B21" s="9" t="s">
        <v>90</v>
      </c>
      <c r="C21" s="43" t="s">
        <v>46</v>
      </c>
      <c r="D21" s="43"/>
      <c r="E21" s="43"/>
      <c r="F21" s="43"/>
      <c r="G21" s="43"/>
      <c r="H21" s="45">
        <f>H20-H19</f>
        <v>-3.5999999999999996</v>
      </c>
    </row>
    <row r="22" spans="2:8" ht="41" customHeight="1" x14ac:dyDescent="0.35">
      <c r="B22" s="9" t="s">
        <v>91</v>
      </c>
      <c r="C22" s="43" t="s">
        <v>92</v>
      </c>
      <c r="D22" s="43"/>
      <c r="E22" s="43"/>
      <c r="F22" s="43"/>
      <c r="G22" s="43"/>
      <c r="H22" s="44">
        <f>_xlfn.XLOOKUP(C11,E15:E16,D15:D16,,1)</f>
        <v>120</v>
      </c>
    </row>
    <row r="23" spans="2:8" ht="41" customHeight="1" x14ac:dyDescent="0.35">
      <c r="B23" s="9" t="s">
        <v>93</v>
      </c>
      <c r="C23" s="43" t="s">
        <v>46</v>
      </c>
      <c r="D23" s="43"/>
      <c r="E23" s="43"/>
      <c r="F23" s="43"/>
      <c r="G23" s="43"/>
      <c r="H23" s="45">
        <f>H22-H19</f>
        <v>116.4</v>
      </c>
    </row>
    <row r="24" spans="2:8" ht="98" customHeight="1" x14ac:dyDescent="0.35">
      <c r="B24" s="34" t="str">
        <f>"Answer: EL = "&amp;TEXT(H19,"₹0.00")&amp;" cr. At 95% the loan survives (VaR = "&amp;TEXT(H20,"₹0.00")&amp;"), so Credit VaR is negative – EL already covers it. At 99% the default is inside the tail: VaR = "&amp;TEXT(H22,"₹0.00")&amp;", Credit VaR = "&amp;TEXT(H23,"₹0.00")&amp;" cr. VaR can jump – it depends heavily on the confidence level."</f>
        <v>Answer: EL = ₹3.60 cr. At 95% the loan survives (VaR = ₹0.00), so Credit VaR is negative – EL already covers it. At 99% the default is inside the tail: VaR = ₹120.00, Credit VaR = ₹116.40 cr. VaR can jump – it depends heavily on the confidence level.</v>
      </c>
      <c r="C24" s="35"/>
      <c r="D24" s="35"/>
      <c r="E24" s="35"/>
      <c r="F24" s="35"/>
      <c r="G24" s="35"/>
      <c r="H24" s="36"/>
    </row>
    <row r="25" spans="2:8" x14ac:dyDescent="0.35">
      <c r="B25" s="13"/>
      <c r="C25" s="13"/>
      <c r="D25" s="13"/>
      <c r="E25" s="13"/>
      <c r="F25" s="13"/>
      <c r="G25" s="13"/>
    </row>
    <row r="26" spans="2:8" ht="41" customHeight="1" x14ac:dyDescent="0.35">
      <c r="B26" s="14" t="s">
        <v>94</v>
      </c>
      <c r="C26" s="14"/>
      <c r="D26" s="14"/>
      <c r="E26" s="14"/>
      <c r="F26" s="14"/>
      <c r="G26" s="14"/>
      <c r="H26" s="4"/>
    </row>
    <row r="27" spans="2:8" ht="75" customHeight="1" x14ac:dyDescent="0.35">
      <c r="B27" s="37" t="s">
        <v>95</v>
      </c>
      <c r="C27" s="38"/>
      <c r="D27" s="38"/>
      <c r="E27" s="38"/>
      <c r="F27" s="38"/>
      <c r="G27" s="38"/>
      <c r="H27" s="46"/>
    </row>
    <row r="28" spans="2:8" ht="41" customHeight="1" x14ac:dyDescent="0.35">
      <c r="B28" s="47" t="s">
        <v>96</v>
      </c>
      <c r="C28" s="48"/>
      <c r="D28" s="48"/>
      <c r="E28" s="48"/>
      <c r="F28" s="48"/>
      <c r="G28" s="48"/>
      <c r="H28" s="49"/>
    </row>
    <row r="29" spans="2:8" ht="41" customHeight="1" x14ac:dyDescent="0.35">
      <c r="B29" s="15" t="str">
        <f>"UL = "&amp;TEXT(C7,"₹#,##0")&amp;" × "&amp;TEXT(1-C9,"0%")&amp;" × √( "&amp;TEXT(C8,"0%")&amp;" × "&amp;TEXT(1-C8,"0%")&amp;" )"</f>
        <v>UL = ₹200 × 60% × √( 3% × 97% )</v>
      </c>
      <c r="C29" s="16"/>
      <c r="D29" s="16"/>
      <c r="E29" s="16"/>
      <c r="F29" s="16"/>
      <c r="G29" s="16"/>
      <c r="H29" s="17"/>
    </row>
    <row r="30" spans="2:8" ht="41" customHeight="1" x14ac:dyDescent="0.35">
      <c r="B30" s="8" t="s">
        <v>5</v>
      </c>
      <c r="C30" s="18" t="s">
        <v>19</v>
      </c>
      <c r="D30" s="18"/>
      <c r="E30" s="18"/>
      <c r="F30" s="18"/>
      <c r="G30" s="18"/>
      <c r="H30" s="8" t="s">
        <v>6</v>
      </c>
    </row>
    <row r="31" spans="2:8" ht="41" customHeight="1" x14ac:dyDescent="0.35">
      <c r="B31" s="9" t="s">
        <v>97</v>
      </c>
      <c r="C31" s="43" t="s">
        <v>98</v>
      </c>
      <c r="D31" s="43"/>
      <c r="E31" s="43"/>
      <c r="F31" s="43"/>
      <c r="G31" s="43"/>
      <c r="H31" s="50">
        <f>1-C9</f>
        <v>0.6</v>
      </c>
    </row>
    <row r="32" spans="2:8" ht="41" customHeight="1" x14ac:dyDescent="0.35">
      <c r="B32" s="9" t="s">
        <v>39</v>
      </c>
      <c r="C32" s="43" t="s">
        <v>99</v>
      </c>
      <c r="D32" s="43"/>
      <c r="E32" s="43"/>
      <c r="F32" s="43"/>
      <c r="G32" s="43"/>
      <c r="H32" s="20">
        <f>C7*H31*C8</f>
        <v>3.5999999999999996</v>
      </c>
    </row>
    <row r="33" spans="2:8" ht="41" customHeight="1" x14ac:dyDescent="0.35">
      <c r="B33" s="9" t="s">
        <v>100</v>
      </c>
      <c r="C33" s="43" t="s">
        <v>101</v>
      </c>
      <c r="D33" s="43"/>
      <c r="E33" s="43"/>
      <c r="F33" s="43"/>
      <c r="G33" s="43"/>
      <c r="H33" s="39">
        <f>SQRT(C8*(1-C8))</f>
        <v>0.1705872210923198</v>
      </c>
    </row>
    <row r="34" spans="2:8" ht="41" customHeight="1" x14ac:dyDescent="0.35">
      <c r="B34" s="9" t="s">
        <v>102</v>
      </c>
      <c r="C34" s="43" t="s">
        <v>103</v>
      </c>
      <c r="D34" s="43"/>
      <c r="E34" s="43"/>
      <c r="F34" s="43"/>
      <c r="G34" s="43"/>
      <c r="H34" s="33">
        <f>C7*H31*H33</f>
        <v>20.470466531078376</v>
      </c>
    </row>
    <row r="35" spans="2:8" ht="69" customHeight="1" x14ac:dyDescent="0.35">
      <c r="B35" s="34" t="str">
        <f>"Answer: EL = "&amp;TEXT(H32,"₹0.00")&amp;" cr, UL = "&amp;TEXT(H34,"₹0.00")&amp;" cr. The loss is usually ₹0 but sometimes "&amp;TEXT(C7*H31,"₹0")&amp;" cr – UL is "&amp;TEXT(H34/H32,"0.0")&amp;"× EL, which is why capital is needed on top of provisions."</f>
        <v>Answer: EL = ₹3.60 cr, UL = ₹20.47 cr. The loss is usually ₹0 but sometimes ₹120 cr – UL is 5.7× EL, which is why capital is needed on top of provisions.</v>
      </c>
      <c r="C35" s="35"/>
      <c r="D35" s="35"/>
      <c r="E35" s="35"/>
      <c r="F35" s="35"/>
      <c r="G35" s="35"/>
      <c r="H35" s="36"/>
    </row>
    <row r="36" spans="2:8" x14ac:dyDescent="0.35">
      <c r="B36" s="13"/>
      <c r="C36" s="13"/>
      <c r="D36" s="13"/>
      <c r="E36" s="13"/>
      <c r="F36" s="13"/>
      <c r="G36" s="13"/>
    </row>
    <row r="37" spans="2:8" ht="41" customHeight="1" x14ac:dyDescent="0.35">
      <c r="B37" s="14" t="s">
        <v>104</v>
      </c>
      <c r="C37" s="14"/>
      <c r="D37" s="14"/>
      <c r="E37" s="14"/>
      <c r="F37" s="14"/>
      <c r="G37" s="14"/>
      <c r="H37" s="4"/>
    </row>
    <row r="38" spans="2:8" ht="69" customHeight="1" x14ac:dyDescent="0.35">
      <c r="B38" s="37" t="s">
        <v>105</v>
      </c>
      <c r="C38" s="38"/>
      <c r="D38" s="38"/>
      <c r="E38" s="6"/>
      <c r="F38" s="6"/>
      <c r="G38" s="6"/>
      <c r="H38" s="7"/>
    </row>
    <row r="39" spans="2:8" ht="41" customHeight="1" x14ac:dyDescent="0.35">
      <c r="B39" s="8" t="s">
        <v>5</v>
      </c>
      <c r="C39" s="8" t="s">
        <v>6</v>
      </c>
      <c r="D39" s="8" t="s">
        <v>7</v>
      </c>
      <c r="E39" s="13"/>
      <c r="F39" s="13"/>
      <c r="G39" s="13"/>
    </row>
    <row r="40" spans="2:8" ht="41" customHeight="1" x14ac:dyDescent="0.35">
      <c r="B40" s="9" t="s">
        <v>106</v>
      </c>
      <c r="C40" s="51">
        <v>100</v>
      </c>
      <c r="D40" s="52" t="s">
        <v>107</v>
      </c>
      <c r="E40" s="13"/>
      <c r="F40" s="13"/>
      <c r="G40" s="13"/>
    </row>
    <row r="41" spans="2:8" ht="41" customHeight="1" x14ac:dyDescent="0.35">
      <c r="B41" s="9" t="s">
        <v>108</v>
      </c>
      <c r="C41" s="53">
        <v>10</v>
      </c>
      <c r="D41" s="52" t="s">
        <v>9</v>
      </c>
      <c r="E41" s="13"/>
      <c r="F41" s="13"/>
      <c r="G41" s="13"/>
    </row>
    <row r="42" spans="2:8" ht="41" customHeight="1" x14ac:dyDescent="0.35">
      <c r="B42" s="9" t="s">
        <v>109</v>
      </c>
      <c r="C42" s="54">
        <v>0.02</v>
      </c>
      <c r="D42" s="52" t="s">
        <v>11</v>
      </c>
      <c r="E42" s="13"/>
      <c r="F42" s="13"/>
      <c r="G42" s="13"/>
    </row>
    <row r="43" spans="2:8" ht="69" customHeight="1" x14ac:dyDescent="0.35">
      <c r="B43" s="9" t="s">
        <v>97</v>
      </c>
      <c r="C43" s="54">
        <v>0.6</v>
      </c>
      <c r="D43" s="52" t="s">
        <v>15</v>
      </c>
      <c r="E43" s="13"/>
      <c r="F43" s="13"/>
      <c r="G43" s="13"/>
    </row>
    <row r="44" spans="2:8" ht="41" customHeight="1" x14ac:dyDescent="0.35">
      <c r="B44" s="9" t="s">
        <v>54</v>
      </c>
      <c r="C44" s="54">
        <v>0.99</v>
      </c>
      <c r="D44" s="52" t="s">
        <v>11</v>
      </c>
      <c r="E44" s="13"/>
      <c r="F44" s="13"/>
      <c r="G44" s="13"/>
    </row>
    <row r="45" spans="2:8" x14ac:dyDescent="0.35">
      <c r="B45" s="13"/>
      <c r="C45" s="13"/>
      <c r="D45" s="13"/>
      <c r="E45" s="13"/>
      <c r="F45" s="13"/>
      <c r="G45" s="13"/>
    </row>
    <row r="46" spans="2:8" ht="41" customHeight="1" x14ac:dyDescent="0.35">
      <c r="B46" s="15" t="s">
        <v>110</v>
      </c>
      <c r="C46" s="16"/>
      <c r="D46" s="16"/>
      <c r="E46" s="16"/>
      <c r="F46" s="42"/>
      <c r="G46" s="42"/>
      <c r="H46" s="21"/>
    </row>
    <row r="47" spans="2:8" ht="69" customHeight="1" x14ac:dyDescent="0.35">
      <c r="B47" s="8" t="s">
        <v>111</v>
      </c>
      <c r="C47" s="8" t="s">
        <v>27</v>
      </c>
      <c r="D47" s="8" t="s">
        <v>29</v>
      </c>
      <c r="E47" s="8" t="s">
        <v>28</v>
      </c>
      <c r="F47" s="13"/>
      <c r="G47" s="13"/>
    </row>
    <row r="48" spans="2:8" ht="41" customHeight="1" x14ac:dyDescent="0.35">
      <c r="B48" s="52">
        <v>0</v>
      </c>
      <c r="C48" s="55">
        <f>COMBIN($C$40,B48)*$C$42^B48*(1-$C$42)^($C$40-B48)</f>
        <v>0.13261955589475274</v>
      </c>
      <c r="D48" s="55">
        <f>C48</f>
        <v>0.13261955589475274</v>
      </c>
      <c r="E48" s="56">
        <f>B48*$C$41*$C$43</f>
        <v>0</v>
      </c>
      <c r="F48" s="13"/>
      <c r="G48" s="13"/>
    </row>
    <row r="49" spans="2:8" ht="41" customHeight="1" x14ac:dyDescent="0.35">
      <c r="B49" s="57">
        <v>1</v>
      </c>
      <c r="C49" s="58">
        <f>COMBIN($C$40,B49)*$C$42^B49*(1-$C$42)^($C$40-B49)</f>
        <v>0.27065215488725053</v>
      </c>
      <c r="D49" s="58">
        <f>D48+C49</f>
        <v>0.4032717107820033</v>
      </c>
      <c r="E49" s="59">
        <f>B49*$C$41*$C$43</f>
        <v>6</v>
      </c>
      <c r="F49" s="13"/>
      <c r="G49" s="13"/>
    </row>
    <row r="50" spans="2:8" ht="41" customHeight="1" x14ac:dyDescent="0.35">
      <c r="B50" s="52">
        <v>2</v>
      </c>
      <c r="C50" s="55">
        <f>COMBIN($C$40,B50)*$C$42^B50*(1-$C$42)^($C$40-B50)</f>
        <v>0.27341391156977357</v>
      </c>
      <c r="D50" s="55">
        <f>D49+C50</f>
        <v>0.67668562235177687</v>
      </c>
      <c r="E50" s="56">
        <f>B50*$C$41*$C$43</f>
        <v>12</v>
      </c>
      <c r="F50" s="13"/>
      <c r="G50" s="13"/>
    </row>
    <row r="51" spans="2:8" ht="41" customHeight="1" x14ac:dyDescent="0.35">
      <c r="B51" s="57">
        <v>3</v>
      </c>
      <c r="C51" s="58">
        <f>COMBIN($C$40,B51)*$C$42^B51*(1-$C$42)^($C$40-B51)</f>
        <v>0.18227594104651573</v>
      </c>
      <c r="D51" s="58">
        <f>D50+C51</f>
        <v>0.85896156339829255</v>
      </c>
      <c r="E51" s="59">
        <f>B51*$C$41*$C$43</f>
        <v>18</v>
      </c>
      <c r="F51" s="13"/>
      <c r="G51" s="13"/>
    </row>
    <row r="52" spans="2:8" ht="41" customHeight="1" x14ac:dyDescent="0.35">
      <c r="B52" s="52">
        <v>4</v>
      </c>
      <c r="C52" s="55">
        <f>COMBIN($C$40,B52)*$C$42^B52*(1-$C$42)^($C$40-B52)</f>
        <v>9.0207991232204202E-2</v>
      </c>
      <c r="D52" s="55">
        <f>D51+C52</f>
        <v>0.94916955463049679</v>
      </c>
      <c r="E52" s="56">
        <f>B52*$C$41*$C$43</f>
        <v>24</v>
      </c>
      <c r="F52" s="13"/>
      <c r="G52" s="13"/>
    </row>
    <row r="53" spans="2:8" ht="41" customHeight="1" x14ac:dyDescent="0.35">
      <c r="B53" s="57">
        <v>5</v>
      </c>
      <c r="C53" s="58">
        <f>COMBIN($C$40,B53)*$C$42^B53*(1-$C$42)^($C$40-B53)</f>
        <v>3.5346804727720831E-2</v>
      </c>
      <c r="D53" s="58">
        <f>D52+C53</f>
        <v>0.98451635935821757</v>
      </c>
      <c r="E53" s="59">
        <f>B53*$C$41*$C$43</f>
        <v>30</v>
      </c>
      <c r="F53" s="13"/>
      <c r="G53" s="13"/>
    </row>
    <row r="54" spans="2:8" ht="41" customHeight="1" x14ac:dyDescent="0.35">
      <c r="B54" s="60">
        <v>6</v>
      </c>
      <c r="C54" s="61">
        <f>COMBIN($C$40,B54)*$C$42^B54*(1-$C$42)^($C$40-B54)</f>
        <v>1.1421586561678498E-2</v>
      </c>
      <c r="D54" s="61">
        <f>D53+C54</f>
        <v>0.99593794591989604</v>
      </c>
      <c r="E54" s="62">
        <f>B54*$C$41*$C$43</f>
        <v>36</v>
      </c>
      <c r="F54" s="13"/>
      <c r="G54" s="13"/>
    </row>
    <row r="55" spans="2:8" ht="41" customHeight="1" x14ac:dyDescent="0.35">
      <c r="B55" s="57">
        <v>7</v>
      </c>
      <c r="C55" s="58">
        <f>COMBIN($C$40,B55)*$C$42^B55*(1-$C$42)^($C$40-B55)</f>
        <v>3.13011410145125E-3</v>
      </c>
      <c r="D55" s="58">
        <f>D54+C55</f>
        <v>0.99906806002134729</v>
      </c>
      <c r="E55" s="59">
        <f>B55*$C$41*$C$43</f>
        <v>42</v>
      </c>
      <c r="F55" s="13"/>
      <c r="G55" s="13"/>
    </row>
    <row r="56" spans="2:8" ht="41" customHeight="1" x14ac:dyDescent="0.35">
      <c r="B56" s="52">
        <v>8</v>
      </c>
      <c r="C56" s="55">
        <f>COMBIN($C$40,B56)*$C$42^B56*(1-$C$42)^($C$40-B56)</f>
        <v>7.4260360059940397E-4</v>
      </c>
      <c r="D56" s="55">
        <f>D55+C56</f>
        <v>0.9998106636219467</v>
      </c>
      <c r="E56" s="56">
        <f>B56*$C$41*$C$43</f>
        <v>48</v>
      </c>
      <c r="F56" s="13"/>
      <c r="G56" s="13"/>
    </row>
    <row r="57" spans="2:8" x14ac:dyDescent="0.35">
      <c r="B57" s="13"/>
      <c r="C57" s="13"/>
      <c r="D57" s="13"/>
      <c r="E57" s="13"/>
      <c r="F57" s="13"/>
      <c r="G57" s="13"/>
    </row>
    <row r="58" spans="2:8" ht="41" customHeight="1" x14ac:dyDescent="0.35">
      <c r="B58" s="8" t="s">
        <v>5</v>
      </c>
      <c r="C58" s="18" t="s">
        <v>19</v>
      </c>
      <c r="D58" s="18"/>
      <c r="E58" s="18"/>
      <c r="F58" s="18"/>
      <c r="G58" s="18"/>
      <c r="H58" s="8" t="s">
        <v>6</v>
      </c>
    </row>
    <row r="59" spans="2:8" ht="41" customHeight="1" x14ac:dyDescent="0.35">
      <c r="B59" s="9" t="s">
        <v>39</v>
      </c>
      <c r="C59" s="43" t="s">
        <v>112</v>
      </c>
      <c r="D59" s="43"/>
      <c r="E59" s="43"/>
      <c r="F59" s="43"/>
      <c r="G59" s="43"/>
      <c r="H59" s="20">
        <f>C40*C41*C43*C42</f>
        <v>12</v>
      </c>
    </row>
    <row r="60" spans="2:8" ht="41" customHeight="1" x14ac:dyDescent="0.35">
      <c r="B60" s="9" t="s">
        <v>91</v>
      </c>
      <c r="C60" s="43" t="s">
        <v>92</v>
      </c>
      <c r="D60" s="43"/>
      <c r="E60" s="43"/>
      <c r="F60" s="43"/>
      <c r="G60" s="43"/>
      <c r="H60" s="20">
        <f>_xlfn.XLOOKUP(C44,D48:D56,E48:E56,,1)</f>
        <v>36</v>
      </c>
    </row>
    <row r="61" spans="2:8" ht="41" customHeight="1" x14ac:dyDescent="0.35">
      <c r="B61" s="9" t="s">
        <v>45</v>
      </c>
      <c r="C61" s="43" t="s">
        <v>46</v>
      </c>
      <c r="D61" s="43"/>
      <c r="E61" s="43"/>
      <c r="F61" s="43"/>
      <c r="G61" s="43"/>
      <c r="H61" s="33">
        <f>H60-H59</f>
        <v>24</v>
      </c>
    </row>
    <row r="62" spans="2:8" ht="41" customHeight="1" x14ac:dyDescent="0.35">
      <c r="B62" s="9" t="s">
        <v>113</v>
      </c>
      <c r="C62" s="43" t="s">
        <v>114</v>
      </c>
      <c r="D62" s="43"/>
      <c r="E62" s="43"/>
      <c r="F62" s="43"/>
      <c r="G62" s="43"/>
      <c r="H62" s="63">
        <f>_xlfn.BINOM.INV(C40,C42,C44)*C41*C43</f>
        <v>36</v>
      </c>
    </row>
    <row r="63" spans="2:8" ht="69" customHeight="1" x14ac:dyDescent="0.35">
      <c r="B63" s="34" t="str">
        <f>"Answer: EL = "&amp;TEXT(H59,"₹0.00")&amp;" cr. In 99% of years no more than "&amp;TEXT(H60/(C41*C43),"0")&amp;" loans default, a loss of "&amp;TEXT(H60,"₹0.00")&amp;" cr, so Credit VaR = "&amp;TEXT(H61,"₹0.00")&amp;" cr. Splitting into many small loans makes the tail much smaller than one big loan (Example 1)."</f>
        <v>Answer: EL = ₹12.00 cr. In 99% of years no more than 6 loans default, a loss of ₹36.00 cr, so Credit VaR = ₹24.00 cr. Splitting into many small loans makes the tail much smaller than one big loan (Example 1).</v>
      </c>
      <c r="C63" s="35"/>
      <c r="D63" s="35"/>
      <c r="E63" s="35"/>
      <c r="F63" s="35"/>
      <c r="G63" s="35"/>
      <c r="H63" s="36"/>
    </row>
    <row r="64" spans="2:8" x14ac:dyDescent="0.35">
      <c r="B64" s="13"/>
      <c r="C64" s="13"/>
      <c r="D64" s="13"/>
      <c r="E64" s="13"/>
      <c r="F64" s="13"/>
      <c r="G64" s="13"/>
    </row>
    <row r="65" spans="2:8" ht="41" customHeight="1" x14ac:dyDescent="0.35">
      <c r="B65" s="14" t="s">
        <v>115</v>
      </c>
      <c r="C65" s="14"/>
      <c r="D65" s="14"/>
      <c r="E65" s="14"/>
      <c r="F65" s="14"/>
      <c r="G65" s="14"/>
      <c r="H65" s="4"/>
    </row>
    <row r="66" spans="2:8" ht="69" customHeight="1" x14ac:dyDescent="0.35">
      <c r="B66" s="37" t="s">
        <v>116</v>
      </c>
      <c r="C66" s="38"/>
      <c r="D66" s="38"/>
      <c r="E66" s="38"/>
      <c r="F66" s="38"/>
      <c r="G66" s="38"/>
      <c r="H66" s="46"/>
    </row>
    <row r="67" spans="2:8" ht="41" customHeight="1" x14ac:dyDescent="0.35">
      <c r="B67" s="15" t="s">
        <v>56</v>
      </c>
      <c r="C67" s="16"/>
      <c r="D67" s="16"/>
      <c r="E67" s="16"/>
      <c r="F67" s="16"/>
      <c r="G67" s="16"/>
      <c r="H67" s="21"/>
    </row>
    <row r="68" spans="2:8" ht="41" customHeight="1" x14ac:dyDescent="0.35">
      <c r="B68" s="8" t="s">
        <v>5</v>
      </c>
      <c r="C68" s="18" t="s">
        <v>19</v>
      </c>
      <c r="D68" s="18"/>
      <c r="E68" s="18"/>
      <c r="F68" s="8" t="s">
        <v>117</v>
      </c>
      <c r="G68" s="8" t="s">
        <v>118</v>
      </c>
    </row>
    <row r="69" spans="2:8" ht="41" customHeight="1" x14ac:dyDescent="0.35">
      <c r="B69" s="9" t="s">
        <v>119</v>
      </c>
      <c r="C69" s="43" t="s">
        <v>120</v>
      </c>
      <c r="D69" s="43"/>
      <c r="E69" s="43"/>
      <c r="F69" s="64">
        <f>$C$40*$C$41</f>
        <v>1000</v>
      </c>
      <c r="G69" s="64">
        <f>$C$40*$C$41</f>
        <v>1000</v>
      </c>
    </row>
    <row r="70" spans="2:8" ht="41" customHeight="1" x14ac:dyDescent="0.35">
      <c r="B70" s="9" t="s">
        <v>52</v>
      </c>
      <c r="C70" s="43" t="s">
        <v>121</v>
      </c>
      <c r="D70" s="43"/>
      <c r="E70" s="43"/>
      <c r="F70" s="65">
        <v>0</v>
      </c>
      <c r="G70" s="65">
        <v>0.2</v>
      </c>
    </row>
    <row r="71" spans="2:8" ht="41" customHeight="1" x14ac:dyDescent="0.35">
      <c r="B71" s="9" t="s">
        <v>57</v>
      </c>
      <c r="C71" s="43" t="s">
        <v>58</v>
      </c>
      <c r="D71" s="43"/>
      <c r="E71" s="43"/>
      <c r="F71" s="66">
        <f>_xlfn.NORM.S.INV($C$42)</f>
        <v>-2.0537489106318225</v>
      </c>
      <c r="G71" s="66">
        <f>_xlfn.NORM.S.INV($C$42)</f>
        <v>-2.0537489106318225</v>
      </c>
    </row>
    <row r="72" spans="2:8" ht="41" customHeight="1" x14ac:dyDescent="0.35">
      <c r="B72" s="9" t="s">
        <v>59</v>
      </c>
      <c r="C72" s="43" t="s">
        <v>60</v>
      </c>
      <c r="D72" s="43"/>
      <c r="E72" s="43"/>
      <c r="F72" s="66">
        <f>_xlfn.NORM.S.INV($C$44)</f>
        <v>2.3263478740408408</v>
      </c>
      <c r="G72" s="66">
        <f>_xlfn.NORM.S.INV($C$44)</f>
        <v>2.3263478740408408</v>
      </c>
    </row>
    <row r="73" spans="2:8" ht="69" customHeight="1" x14ac:dyDescent="0.35">
      <c r="B73" s="9" t="s">
        <v>122</v>
      </c>
      <c r="C73" s="43" t="s">
        <v>123</v>
      </c>
      <c r="D73" s="43"/>
      <c r="E73" s="43"/>
      <c r="F73" s="66">
        <f>(F71+SQRT(F70)*F72)/SQRT(1-F70)</f>
        <v>-2.0537489106318225</v>
      </c>
      <c r="G73" s="66">
        <f>(G71+SQRT(G70)*G72)/SQRT(1-G70)</f>
        <v>-1.1329871494240276</v>
      </c>
    </row>
    <row r="74" spans="2:8" ht="41" customHeight="1" x14ac:dyDescent="0.35">
      <c r="B74" s="9" t="s">
        <v>65</v>
      </c>
      <c r="C74" s="43" t="s">
        <v>66</v>
      </c>
      <c r="D74" s="43"/>
      <c r="E74" s="43"/>
      <c r="F74" s="67">
        <f>_xlfn.NORM.S.DIST(F73,TRUE)</f>
        <v>2.0000000000000014E-2</v>
      </c>
      <c r="G74" s="67">
        <f>_xlfn.NORM.S.DIST(G73,TRUE)</f>
        <v>0.12860982493247142</v>
      </c>
    </row>
    <row r="75" spans="2:8" ht="41" customHeight="1" x14ac:dyDescent="0.35">
      <c r="B75" s="9" t="s">
        <v>124</v>
      </c>
      <c r="C75" s="43" t="s">
        <v>68</v>
      </c>
      <c r="D75" s="43"/>
      <c r="E75" s="43"/>
      <c r="F75" s="64">
        <f>F69*$C$43*F74</f>
        <v>12.000000000000009</v>
      </c>
      <c r="G75" s="64">
        <f>G69*$C$43*G74</f>
        <v>77.165894959482856</v>
      </c>
    </row>
    <row r="76" spans="2:8" ht="41" customHeight="1" x14ac:dyDescent="0.35">
      <c r="B76" s="9" t="s">
        <v>39</v>
      </c>
      <c r="C76" s="43" t="s">
        <v>69</v>
      </c>
      <c r="D76" s="43"/>
      <c r="E76" s="43"/>
      <c r="F76" s="64">
        <f>F69*$C$43*$C$42</f>
        <v>12</v>
      </c>
      <c r="G76" s="64">
        <f>G69*$C$43*$C$42</f>
        <v>12</v>
      </c>
    </row>
    <row r="77" spans="2:8" ht="41" customHeight="1" x14ac:dyDescent="0.35">
      <c r="B77" s="68" t="s">
        <v>125</v>
      </c>
      <c r="C77" s="69" t="s">
        <v>126</v>
      </c>
      <c r="D77" s="69"/>
      <c r="E77" s="69"/>
      <c r="F77" s="62">
        <f>F75-F76</f>
        <v>0</v>
      </c>
      <c r="G77" s="62">
        <f>G75-G76</f>
        <v>65.165894959482856</v>
      </c>
    </row>
    <row r="78" spans="2:8" ht="98" customHeight="1" x14ac:dyDescent="0.35">
      <c r="B78" s="34" t="str">
        <f>"Answer: With ρ = 0 a very large book almost never has a bad year (WCDR = PD, Credit VaR = "&amp;TEXT(F77,"₹0.00")&amp;"). With ρ = 20%, "&amp;TEXT(G74,"0.0%")&amp;" of loans default in a 1-in-100 year and Credit VaR rises to "&amp;TEXT(G77,"₹0.00")&amp;" cr. Diversification helps, but correlation is what drives credit risk capital."</f>
        <v>Answer: With ρ = 0 a very large book almost never has a bad year (WCDR = PD, Credit VaR = ₹0.00). With ρ = 20%, 12.9% of loans default in a 1-in-100 year and Credit VaR rises to ₹65.17 cr. Diversification helps, but correlation is what drives credit risk capital.</v>
      </c>
      <c r="C78" s="35"/>
      <c r="D78" s="35"/>
      <c r="E78" s="35"/>
      <c r="F78" s="35"/>
      <c r="G78" s="35"/>
      <c r="H78" s="70"/>
    </row>
  </sheetData>
  <mergeCells count="45">
    <mergeCell ref="C76:E76"/>
    <mergeCell ref="C77:E77"/>
    <mergeCell ref="B78:H78"/>
    <mergeCell ref="C70:E70"/>
    <mergeCell ref="C71:E71"/>
    <mergeCell ref="C72:E72"/>
    <mergeCell ref="C73:E73"/>
    <mergeCell ref="C74:E74"/>
    <mergeCell ref="C75:E75"/>
    <mergeCell ref="B63:H63"/>
    <mergeCell ref="B65:H65"/>
    <mergeCell ref="B66:H66"/>
    <mergeCell ref="B67:H67"/>
    <mergeCell ref="C68:E68"/>
    <mergeCell ref="C69:E69"/>
    <mergeCell ref="B46:H46"/>
    <mergeCell ref="C58:G58"/>
    <mergeCell ref="C59:G59"/>
    <mergeCell ref="C60:G60"/>
    <mergeCell ref="C61:G61"/>
    <mergeCell ref="C62:G62"/>
    <mergeCell ref="C32:G32"/>
    <mergeCell ref="C33:G33"/>
    <mergeCell ref="C34:G34"/>
    <mergeCell ref="B35:H35"/>
    <mergeCell ref="B37:H37"/>
    <mergeCell ref="B38:H38"/>
    <mergeCell ref="B26:H26"/>
    <mergeCell ref="B27:H27"/>
    <mergeCell ref="B28:H28"/>
    <mergeCell ref="B29:H29"/>
    <mergeCell ref="C30:G30"/>
    <mergeCell ref="C31:G31"/>
    <mergeCell ref="C19:G19"/>
    <mergeCell ref="C20:G20"/>
    <mergeCell ref="C21:G21"/>
    <mergeCell ref="C22:G22"/>
    <mergeCell ref="C23:G23"/>
    <mergeCell ref="B24:H24"/>
    <mergeCell ref="B1:H1"/>
    <mergeCell ref="B2:H2"/>
    <mergeCell ref="B4:H4"/>
    <mergeCell ref="B5:H5"/>
    <mergeCell ref="B13:H13"/>
    <mergeCell ref="C18:G1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6CC85-D810-7D41-989C-52BEE012B2F2}">
  <sheetPr>
    <tabColor rgb="FF0B2E4F"/>
  </sheetPr>
  <dimension ref="A1:Z96"/>
  <sheetViews>
    <sheetView showGridLines="0" workbookViewId="0">
      <pane ySplit="2" topLeftCell="A53" activePane="bottomLeft" state="frozen"/>
      <selection activeCell="C66" sqref="C66:G66"/>
      <selection pane="bottomLeft" activeCell="C66" sqref="C66:G66"/>
    </sheetView>
  </sheetViews>
  <sheetFormatPr baseColWidth="10" defaultRowHeight="29" x14ac:dyDescent="0.35"/>
  <cols>
    <col min="1" max="1" width="3.33203125" style="2" customWidth="1"/>
    <col min="2" max="2" width="70" style="2" customWidth="1"/>
    <col min="3" max="8" width="25" style="2" customWidth="1"/>
    <col min="9" max="26" width="10.83203125" style="2"/>
  </cols>
  <sheetData>
    <row r="1" spans="2:8" ht="48" customHeight="1" x14ac:dyDescent="0.45">
      <c r="B1" s="1" t="s">
        <v>127</v>
      </c>
      <c r="C1" s="1"/>
      <c r="D1" s="1"/>
      <c r="E1" s="1"/>
      <c r="F1" s="1"/>
      <c r="G1" s="1"/>
      <c r="H1" s="1"/>
    </row>
    <row r="2" spans="2:8" ht="41" customHeight="1" x14ac:dyDescent="0.35">
      <c r="B2" s="3" t="s">
        <v>128</v>
      </c>
      <c r="C2" s="3"/>
      <c r="D2" s="3"/>
      <c r="E2" s="3"/>
      <c r="F2" s="3"/>
      <c r="G2" s="3"/>
      <c r="H2" s="3"/>
    </row>
    <row r="4" spans="2:8" ht="41" customHeight="1" x14ac:dyDescent="0.35">
      <c r="B4" s="4" t="s">
        <v>129</v>
      </c>
      <c r="C4" s="4"/>
      <c r="D4" s="4"/>
      <c r="E4" s="4"/>
      <c r="F4" s="4"/>
      <c r="G4" s="4"/>
      <c r="H4" s="4"/>
    </row>
    <row r="5" spans="2:8" ht="41" customHeight="1" x14ac:dyDescent="0.35">
      <c r="B5" s="8" t="s">
        <v>5</v>
      </c>
      <c r="C5" s="8" t="s">
        <v>6</v>
      </c>
      <c r="D5" s="8" t="s">
        <v>7</v>
      </c>
    </row>
    <row r="6" spans="2:8" ht="41" customHeight="1" x14ac:dyDescent="0.35">
      <c r="B6" s="9" t="s">
        <v>130</v>
      </c>
      <c r="C6" s="71">
        <v>1000</v>
      </c>
      <c r="D6" s="11" t="s">
        <v>9</v>
      </c>
    </row>
    <row r="7" spans="2:8" ht="41" customHeight="1" x14ac:dyDescent="0.35">
      <c r="B7" s="9" t="s">
        <v>131</v>
      </c>
      <c r="C7" s="12">
        <v>0.02</v>
      </c>
      <c r="D7" s="11" t="s">
        <v>11</v>
      </c>
    </row>
    <row r="8" spans="2:8" ht="41" customHeight="1" x14ac:dyDescent="0.35">
      <c r="B8" s="9" t="s">
        <v>51</v>
      </c>
      <c r="C8" s="12">
        <v>0.6</v>
      </c>
      <c r="D8" s="11" t="s">
        <v>15</v>
      </c>
    </row>
    <row r="9" spans="2:8" ht="69" customHeight="1" x14ac:dyDescent="0.35">
      <c r="B9" s="9" t="s">
        <v>52</v>
      </c>
      <c r="C9" s="12">
        <v>0.2</v>
      </c>
      <c r="D9" s="52" t="s">
        <v>132</v>
      </c>
    </row>
    <row r="10" spans="2:8" ht="41" customHeight="1" x14ac:dyDescent="0.35">
      <c r="B10" s="9" t="s">
        <v>54</v>
      </c>
      <c r="C10" s="12">
        <v>0.999</v>
      </c>
      <c r="D10" s="11" t="s">
        <v>133</v>
      </c>
    </row>
    <row r="11" spans="2:8" x14ac:dyDescent="0.35">
      <c r="B11" s="13"/>
    </row>
    <row r="12" spans="2:8" ht="41" customHeight="1" x14ac:dyDescent="0.35">
      <c r="B12" s="72" t="s">
        <v>134</v>
      </c>
      <c r="C12" s="72"/>
      <c r="D12" s="72"/>
      <c r="E12" s="72"/>
      <c r="F12" s="72"/>
      <c r="G12" s="72"/>
      <c r="H12" s="72"/>
    </row>
    <row r="13" spans="2:8" ht="98" customHeight="1" x14ac:dyDescent="0.35">
      <c r="B13" s="73" t="s">
        <v>135</v>
      </c>
      <c r="C13" s="74"/>
      <c r="D13" s="74"/>
      <c r="E13" s="74"/>
      <c r="F13" s="74"/>
      <c r="G13" s="74"/>
      <c r="H13" s="75"/>
    </row>
    <row r="14" spans="2:8" x14ac:dyDescent="0.35">
      <c r="B14" s="13"/>
    </row>
    <row r="15" spans="2:8" ht="41" customHeight="1" x14ac:dyDescent="0.35">
      <c r="B15" s="72" t="s">
        <v>136</v>
      </c>
      <c r="C15" s="72"/>
      <c r="D15" s="72"/>
      <c r="E15" s="72"/>
      <c r="F15" s="72"/>
      <c r="G15" s="72"/>
      <c r="H15" s="72"/>
    </row>
    <row r="16" spans="2:8" ht="126" customHeight="1" x14ac:dyDescent="0.35">
      <c r="B16" s="73" t="s">
        <v>137</v>
      </c>
      <c r="C16" s="74"/>
      <c r="D16" s="74"/>
      <c r="E16" s="74"/>
      <c r="F16" s="74"/>
      <c r="G16" s="74"/>
      <c r="H16" s="75"/>
    </row>
    <row r="17" spans="2:8" x14ac:dyDescent="0.35">
      <c r="B17" s="13"/>
    </row>
    <row r="18" spans="2:8" ht="41" customHeight="1" x14ac:dyDescent="0.35">
      <c r="B18" s="72" t="s">
        <v>138</v>
      </c>
      <c r="C18" s="72"/>
      <c r="D18" s="72"/>
      <c r="E18" s="72"/>
      <c r="F18" s="72"/>
      <c r="G18" s="72"/>
      <c r="H18" s="72"/>
    </row>
    <row r="19" spans="2:8" ht="98" customHeight="1" x14ac:dyDescent="0.35">
      <c r="B19" s="76" t="s">
        <v>139</v>
      </c>
      <c r="C19" s="77"/>
      <c r="D19" s="77"/>
      <c r="E19" s="77"/>
      <c r="F19" s="77"/>
      <c r="G19" s="77"/>
      <c r="H19" s="78"/>
    </row>
    <row r="20" spans="2:8" ht="41" customHeight="1" x14ac:dyDescent="0.35">
      <c r="B20" s="79" t="s">
        <v>140</v>
      </c>
      <c r="C20" s="80"/>
      <c r="D20" s="80"/>
      <c r="E20" s="80"/>
      <c r="F20" s="80"/>
      <c r="G20" s="80"/>
      <c r="H20" s="81"/>
    </row>
    <row r="21" spans="2:8" x14ac:dyDescent="0.35">
      <c r="B21" s="13"/>
    </row>
    <row r="22" spans="2:8" ht="41" customHeight="1" x14ac:dyDescent="0.35">
      <c r="B22" s="72" t="s">
        <v>141</v>
      </c>
      <c r="C22" s="72"/>
      <c r="D22" s="72"/>
      <c r="E22" s="72"/>
      <c r="F22" s="72"/>
      <c r="G22" s="72"/>
      <c r="H22" s="72"/>
    </row>
    <row r="23" spans="2:8" ht="126" customHeight="1" x14ac:dyDescent="0.35">
      <c r="B23" s="76" t="s">
        <v>142</v>
      </c>
      <c r="C23" s="77"/>
      <c r="D23" s="77"/>
      <c r="E23" s="77"/>
      <c r="F23" s="77"/>
      <c r="G23" s="77"/>
      <c r="H23" s="78"/>
    </row>
    <row r="24" spans="2:8" ht="41" customHeight="1" x14ac:dyDescent="0.35">
      <c r="B24" s="82" t="s">
        <v>143</v>
      </c>
      <c r="C24" s="83"/>
      <c r="D24" s="83"/>
      <c r="E24" s="83"/>
      <c r="F24" s="83"/>
      <c r="G24" s="83"/>
      <c r="H24" s="84"/>
    </row>
    <row r="25" spans="2:8" ht="69" customHeight="1" x14ac:dyDescent="0.35">
      <c r="B25" s="8" t="s">
        <v>144</v>
      </c>
      <c r="C25" s="18" t="s">
        <v>145</v>
      </c>
      <c r="D25" s="18"/>
      <c r="E25" s="18" t="s">
        <v>146</v>
      </c>
      <c r="F25" s="18"/>
      <c r="G25" s="18" t="s">
        <v>147</v>
      </c>
      <c r="H25" s="18"/>
    </row>
    <row r="26" spans="2:8" ht="41" customHeight="1" x14ac:dyDescent="0.35">
      <c r="B26" s="85">
        <v>2</v>
      </c>
      <c r="C26" s="86" t="s">
        <v>148</v>
      </c>
      <c r="D26" s="86"/>
      <c r="E26" s="87">
        <f>_xlfn.NORM.S.DIST(B26,TRUE)</f>
        <v>0.97724986805182079</v>
      </c>
      <c r="F26" s="87"/>
      <c r="G26" s="87">
        <f>_xlfn.NORM.S.DIST((_xlfn.NORM.S.INV($C$7)-SQRT($C$9)*B26)/SQRT(1-$C$9),TRUE)</f>
        <v>4.9007898348194532E-4</v>
      </c>
      <c r="H26" s="87"/>
    </row>
    <row r="27" spans="2:8" ht="41" customHeight="1" x14ac:dyDescent="0.35">
      <c r="B27" s="88">
        <v>1</v>
      </c>
      <c r="C27" s="89" t="s">
        <v>149</v>
      </c>
      <c r="D27" s="89"/>
      <c r="E27" s="90">
        <f>_xlfn.NORM.S.DIST(B27,TRUE)</f>
        <v>0.84134474606854304</v>
      </c>
      <c r="F27" s="90"/>
      <c r="G27" s="90">
        <f>_xlfn.NORM.S.DIST((_xlfn.NORM.S.INV($C$7)-SQRT($C$9)*B27)/SQRT(1-$C$9),TRUE)</f>
        <v>2.5856808891564944E-3</v>
      </c>
      <c r="H27" s="90"/>
    </row>
    <row r="28" spans="2:8" ht="41" customHeight="1" x14ac:dyDescent="0.35">
      <c r="B28" s="85">
        <v>0</v>
      </c>
      <c r="C28" s="86" t="s">
        <v>150</v>
      </c>
      <c r="D28" s="86"/>
      <c r="E28" s="87">
        <f>_xlfn.NORM.S.DIST(B28,TRUE)</f>
        <v>0.5</v>
      </c>
      <c r="F28" s="87"/>
      <c r="G28" s="87">
        <f>_xlfn.NORM.S.DIST((_xlfn.NORM.S.INV($C$7)-SQRT($C$9)*B28)/SQRT(1-$C$9),TRUE)</f>
        <v>1.0833336300332263E-2</v>
      </c>
      <c r="H28" s="87"/>
    </row>
    <row r="29" spans="2:8" ht="41" customHeight="1" x14ac:dyDescent="0.35">
      <c r="B29" s="88">
        <v>-1</v>
      </c>
      <c r="C29" s="89" t="s">
        <v>151</v>
      </c>
      <c r="D29" s="89"/>
      <c r="E29" s="90">
        <f>_xlfn.NORM.S.DIST(B29,TRUE)</f>
        <v>0.15865525393145699</v>
      </c>
      <c r="F29" s="90"/>
      <c r="G29" s="90">
        <f>_xlfn.NORM.S.DIST((_xlfn.NORM.S.INV($C$7)-SQRT($C$9)*B29)/SQRT(1-$C$9),TRUE)</f>
        <v>3.6234450771595907E-2</v>
      </c>
      <c r="H29" s="90"/>
    </row>
    <row r="30" spans="2:8" ht="41" customHeight="1" x14ac:dyDescent="0.35">
      <c r="B30" s="85">
        <v>-2</v>
      </c>
      <c r="C30" s="86" t="s">
        <v>152</v>
      </c>
      <c r="D30" s="86"/>
      <c r="E30" s="87">
        <f>_xlfn.NORM.S.DIST(B30,TRUE)</f>
        <v>2.2750131948179191E-2</v>
      </c>
      <c r="F30" s="87"/>
      <c r="G30" s="87">
        <f>_xlfn.NORM.S.DIST((_xlfn.NORM.S.INV($C$7)-SQRT($C$9)*B30)/SQRT(1-$C$9),TRUE)</f>
        <v>9.7459996485889794E-2</v>
      </c>
      <c r="H30" s="87"/>
    </row>
    <row r="31" spans="2:8" ht="41" customHeight="1" x14ac:dyDescent="0.35">
      <c r="B31" s="91">
        <f>-_xlfn.NORM.S.INV($C$10)</f>
        <v>-3.0902323061678132</v>
      </c>
      <c r="C31" s="92" t="s">
        <v>153</v>
      </c>
      <c r="D31" s="92"/>
      <c r="E31" s="93">
        <f>_xlfn.NORM.S.DIST(B31,TRUE)</f>
        <v>9.999999999999998E-4</v>
      </c>
      <c r="F31" s="93"/>
      <c r="G31" s="93">
        <f>_xlfn.NORM.S.DIST((_xlfn.NORM.S.INV($C$7)-SQRT($C$9)*B31)/SQRT(1-$C$9),TRUE)</f>
        <v>0.22631280715580149</v>
      </c>
      <c r="H31" s="93"/>
    </row>
    <row r="32" spans="2:8" ht="98" customHeight="1" x14ac:dyDescent="0.35">
      <c r="B32" s="73" t="str">
        <f>"Read down the table: the same borrowers with PD "&amp;TEXT(C7,"0%")&amp;" default at only "&amp;TEXT(G26,"0.00%")&amp;" in a boom, "&amp;TEXT(G28,"0.00%")&amp;" in an average year, but "&amp;TEXT(G31,"0.00%")&amp;" in the 1-in-"&amp;TEXT(1/(1-C10),"#,##0")&amp;"-year crisis. That last number is the WCDR. Notice the average year is below PD – most years are quiet, a few terrible years pull the long-run average up to PD."</f>
        <v>Read down the table: the same borrowers with PD 2% default at only 0.05% in a boom, 1.08% in an average year, but 22.63% in the 1-in-1,000-year crisis. That last number is the WCDR. Notice the average year is below PD – most years are quiet, a few terrible years pull the long-run average up to PD.</v>
      </c>
      <c r="C32" s="74"/>
      <c r="D32" s="74"/>
      <c r="E32" s="74"/>
      <c r="F32" s="74"/>
      <c r="G32" s="74"/>
      <c r="H32" s="75"/>
    </row>
    <row r="33" spans="2:8" x14ac:dyDescent="0.35">
      <c r="B33" s="13"/>
    </row>
    <row r="34" spans="2:8" ht="41" customHeight="1" x14ac:dyDescent="0.35">
      <c r="B34" s="72" t="s">
        <v>154</v>
      </c>
      <c r="C34" s="72"/>
      <c r="D34" s="72"/>
      <c r="E34" s="72"/>
      <c r="F34" s="72"/>
      <c r="G34" s="72"/>
      <c r="H34" s="72"/>
    </row>
    <row r="35" spans="2:8" ht="41" customHeight="1" x14ac:dyDescent="0.35">
      <c r="B35" s="82" t="s">
        <v>155</v>
      </c>
      <c r="C35" s="83"/>
      <c r="D35" s="83"/>
      <c r="E35" s="83"/>
      <c r="F35" s="83"/>
      <c r="G35" s="83"/>
      <c r="H35" s="84"/>
    </row>
    <row r="36" spans="2:8" ht="41" customHeight="1" x14ac:dyDescent="0.35">
      <c r="B36" s="8" t="s">
        <v>5</v>
      </c>
      <c r="C36" s="18" t="s">
        <v>19</v>
      </c>
      <c r="D36" s="18"/>
      <c r="E36" s="18"/>
      <c r="F36" s="18"/>
      <c r="G36" s="18"/>
      <c r="H36" s="8" t="s">
        <v>6</v>
      </c>
    </row>
    <row r="37" spans="2:8" ht="69" customHeight="1" x14ac:dyDescent="0.35">
      <c r="B37" s="9" t="s">
        <v>156</v>
      </c>
      <c r="C37" s="43" t="str">
        <f>"NORM.S.INV("&amp;TEXT($C$7,"0.0%")&amp;") – how far below average a borrower must fall to default"</f>
        <v>NORM.S.INV(2.0%) – how far below average a borrower must fall to default</v>
      </c>
      <c r="D37" s="43"/>
      <c r="E37" s="43"/>
      <c r="F37" s="43"/>
      <c r="G37" s="43"/>
      <c r="H37" s="39">
        <f>_xlfn.NORM.S.INV($C$7)</f>
        <v>-2.0537489106318225</v>
      </c>
    </row>
    <row r="38" spans="2:8" ht="41" customHeight="1" x14ac:dyDescent="0.35">
      <c r="B38" s="9" t="s">
        <v>157</v>
      </c>
      <c r="C38" s="43" t="str">
        <f>"NORM.S.INV("&amp;TEXT($C$10,"0.0%")&amp;") – how bad the 1-in-"&amp;TEXT(1/(1-$C$10),"#,##0")&amp;" economy is"</f>
        <v>NORM.S.INV(99.9%) – how bad the 1-in-1,000 economy is</v>
      </c>
      <c r="D38" s="43"/>
      <c r="E38" s="43"/>
      <c r="F38" s="43"/>
      <c r="G38" s="43"/>
      <c r="H38" s="39">
        <f>_xlfn.NORM.S.INV($C$10)</f>
        <v>3.0902323061678132</v>
      </c>
    </row>
    <row r="39" spans="2:8" ht="41" customHeight="1" x14ac:dyDescent="0.35">
      <c r="B39" s="9" t="s">
        <v>158</v>
      </c>
      <c r="C39" s="43" t="str">
        <f>"√"&amp;TEXT($C$9,"0.00")&amp;" – weight of the common economy"</f>
        <v>√0.20 – weight of the common economy</v>
      </c>
      <c r="D39" s="43"/>
      <c r="E39" s="43"/>
      <c r="F39" s="43"/>
      <c r="G39" s="43"/>
      <c r="H39" s="39">
        <f>SQRT($C$9)</f>
        <v>0.44721359549995793</v>
      </c>
    </row>
    <row r="40" spans="2:8" ht="41" customHeight="1" x14ac:dyDescent="0.35">
      <c r="B40" s="9" t="s">
        <v>159</v>
      </c>
      <c r="C40" s="43" t="str">
        <f>"N⁻¹(PD) + √ρ × N⁻¹(X) = "&amp;TEXT(H37,"0.0000")&amp;" + "&amp;TEXT(H39,"0.0000")&amp;" × "&amp;TEXT(H38,"0.0000")</f>
        <v>N⁻¹(PD) + √ρ × N⁻¹(X) = -2.0537 + 0.4472 × 3.0902</v>
      </c>
      <c r="D40" s="43"/>
      <c r="E40" s="43"/>
      <c r="F40" s="43"/>
      <c r="G40" s="43"/>
      <c r="H40" s="39">
        <f>H37+H39*H38</f>
        <v>-0.67175501006038796</v>
      </c>
    </row>
    <row r="41" spans="2:8" ht="41" customHeight="1" x14ac:dyDescent="0.35">
      <c r="B41" s="9" t="s">
        <v>160</v>
      </c>
      <c r="C41" s="43" t="str">
        <f>"√(1 − "&amp;TEXT($C$9,"0.00")&amp;") – weight of each borrower's own luck"</f>
        <v>√(1 − 0.20) – weight of each borrower's own luck</v>
      </c>
      <c r="D41" s="43"/>
      <c r="E41" s="43"/>
      <c r="F41" s="43"/>
      <c r="G41" s="43"/>
      <c r="H41" s="39">
        <f>SQRT(1-$C$9)</f>
        <v>0.89442719099991586</v>
      </c>
    </row>
    <row r="42" spans="2:8" ht="41" customHeight="1" x14ac:dyDescent="0.35">
      <c r="B42" s="9" t="s">
        <v>161</v>
      </c>
      <c r="C42" s="43" t="str">
        <f>TEXT(H40,"0.0000")&amp;" ÷ "&amp;TEXT(H41,"0.0000")</f>
        <v>-0.6718 ÷ 0.8944</v>
      </c>
      <c r="D42" s="43"/>
      <c r="E42" s="43"/>
      <c r="F42" s="43"/>
      <c r="G42" s="43"/>
      <c r="H42" s="39">
        <f>H40/H41</f>
        <v>-0.75104493336054134</v>
      </c>
    </row>
    <row r="43" spans="2:8" ht="41" customHeight="1" x14ac:dyDescent="0.35">
      <c r="B43" s="9" t="s">
        <v>162</v>
      </c>
      <c r="C43" s="43" t="str">
        <f>"NORM.S.DIST("&amp;TEXT(H42,"0.0000")&amp;", TRUE)"</f>
        <v>NORM.S.DIST(-0.7510, TRUE)</v>
      </c>
      <c r="D43" s="43"/>
      <c r="E43" s="43"/>
      <c r="F43" s="43"/>
      <c r="G43" s="43"/>
      <c r="H43" s="40">
        <f>_xlfn.NORM.S.DIST(H42,TRUE)</f>
        <v>0.22631280715580149</v>
      </c>
    </row>
    <row r="44" spans="2:8" ht="69" customHeight="1" x14ac:dyDescent="0.35">
      <c r="B44" s="94" t="s">
        <v>163</v>
      </c>
      <c r="C44" s="95" t="s">
        <v>164</v>
      </c>
      <c r="D44" s="95"/>
      <c r="E44" s="95"/>
      <c r="F44" s="95"/>
      <c r="G44" s="95"/>
      <c r="H44" s="96">
        <f>_xlfn.NORM.S.DIST((_xlfn.NORM.S.INV($C$7)+SQRT($C$9)*_xlfn.NORM.S.INV($C$10))/SQRT(1-$C$9),TRUE)</f>
        <v>0.22631280715580149</v>
      </c>
    </row>
    <row r="45" spans="2:8" ht="41" customHeight="1" x14ac:dyDescent="0.35">
      <c r="B45" s="82" t="str">
        <f>"WCDR = N [ ( "&amp;TEXT(H37,"0.0000")&amp;" + "&amp;TEXT(H39,"0.0000")&amp;" × "&amp;TEXT(H38,"0.0000")&amp;" ) / "&amp;TEXT(H41,"0.0000")&amp;" ] = N( "&amp;TEXT(H42,"0.0000")&amp;" ) = "&amp;TEXT(H43,"0.00%")</f>
        <v>WCDR = N [ ( -2.0537 + 0.4472 × 3.0902 ) / 0.8944 ] = N( -0.7510 ) = 22.63%</v>
      </c>
      <c r="C45" s="83"/>
      <c r="D45" s="83"/>
      <c r="E45" s="83"/>
      <c r="F45" s="83"/>
      <c r="G45" s="83"/>
      <c r="H45" s="84"/>
    </row>
    <row r="46" spans="2:8" ht="69" customHeight="1" x14ac:dyDescent="0.35">
      <c r="B46" s="73" t="str">
        <f>"Answer: WCDR = "&amp;TEXT(H43,"0.00%")&amp;". A borrower has only a "&amp;TEXT(C7,"0%")&amp;" chance of default in a normal year, but in a 1-in-"&amp;TEXT(1/(1-C10),"#,##0")&amp;"-year bad year about "&amp;TEXT(H43,"0.0%")&amp;" of the portfolio defaults – "&amp;TEXT(H43/C7,"0.0")&amp;"× the PD. The Excel check gives "&amp;TEXT(H44,"0.00%")&amp;"."</f>
        <v>Answer: WCDR = 22.63%. A borrower has only a 2% chance of default in a normal year, but in a 1-in-1,000-year bad year about 22.6% of the portfolio defaults – 11.3× the PD. The Excel check gives 22.63%.</v>
      </c>
      <c r="C46" s="74"/>
      <c r="D46" s="74"/>
      <c r="E46" s="74"/>
      <c r="F46" s="74"/>
      <c r="G46" s="74"/>
      <c r="H46" s="75"/>
    </row>
    <row r="47" spans="2:8" x14ac:dyDescent="0.35">
      <c r="B47" s="13"/>
    </row>
    <row r="48" spans="2:8" ht="41" customHeight="1" x14ac:dyDescent="0.35">
      <c r="B48" s="72" t="s">
        <v>165</v>
      </c>
      <c r="C48" s="72"/>
      <c r="D48" s="72"/>
      <c r="E48" s="72"/>
      <c r="F48" s="72"/>
      <c r="G48" s="72"/>
      <c r="H48" s="72"/>
    </row>
    <row r="49" spans="2:8" ht="69" customHeight="1" x14ac:dyDescent="0.35">
      <c r="B49" s="82" t="s">
        <v>166</v>
      </c>
      <c r="C49" s="83"/>
      <c r="D49" s="83"/>
      <c r="E49" s="83"/>
      <c r="F49" s="83"/>
      <c r="G49" s="83"/>
      <c r="H49" s="84"/>
    </row>
    <row r="50" spans="2:8" ht="41" customHeight="1" x14ac:dyDescent="0.35">
      <c r="B50" s="8" t="s">
        <v>5</v>
      </c>
      <c r="C50" s="18" t="s">
        <v>19</v>
      </c>
      <c r="D50" s="18"/>
      <c r="E50" s="18"/>
      <c r="F50" s="18"/>
      <c r="G50" s="18"/>
      <c r="H50" s="8" t="s">
        <v>6</v>
      </c>
    </row>
    <row r="51" spans="2:8" ht="41" customHeight="1" x14ac:dyDescent="0.35">
      <c r="B51" s="9" t="s">
        <v>167</v>
      </c>
      <c r="C51" s="43" t="str">
        <f>TEXT($C$6,"₹#,##0")&amp;" × "&amp;TEXT($C$8,"0%")&amp;" × "&amp;TEXT(H43,"0.00%")</f>
        <v>₹1,000 × 60% × 22.63%</v>
      </c>
      <c r="D51" s="43"/>
      <c r="E51" s="43"/>
      <c r="F51" s="43"/>
      <c r="G51" s="43"/>
      <c r="H51" s="20">
        <f>$C$6*$C$8*H43</f>
        <v>135.78768429348088</v>
      </c>
    </row>
    <row r="52" spans="2:8" ht="41" customHeight="1" x14ac:dyDescent="0.35">
      <c r="B52" s="9" t="s">
        <v>39</v>
      </c>
      <c r="C52" s="43" t="str">
        <f>TEXT($C$6,"₹#,##0")&amp;" × "&amp;TEXT($C$8,"0%")&amp;" × "&amp;TEXT($C$7,"0.00%")</f>
        <v>₹1,000 × 60% × 2.00%</v>
      </c>
      <c r="D52" s="43"/>
      <c r="E52" s="43"/>
      <c r="F52" s="43"/>
      <c r="G52" s="43"/>
      <c r="H52" s="20">
        <f>$C$6*$C$8*$C$7</f>
        <v>12</v>
      </c>
    </row>
    <row r="53" spans="2:8" ht="41" customHeight="1" x14ac:dyDescent="0.35">
      <c r="B53" s="68" t="s">
        <v>45</v>
      </c>
      <c r="C53" s="69" t="str">
        <f>TEXT(H51,"₹#,##0.00")&amp;" − "&amp;TEXT(H52,"₹#,##0.00")</f>
        <v>₹135.79 − ₹12.00</v>
      </c>
      <c r="D53" s="69"/>
      <c r="E53" s="69"/>
      <c r="F53" s="69"/>
      <c r="G53" s="69"/>
      <c r="H53" s="33">
        <f>H51-H52</f>
        <v>123.78768429348088</v>
      </c>
    </row>
    <row r="54" spans="2:8" ht="41" customHeight="1" x14ac:dyDescent="0.35">
      <c r="B54" s="94" t="s">
        <v>168</v>
      </c>
      <c r="C54" s="95" t="s">
        <v>169</v>
      </c>
      <c r="D54" s="95"/>
      <c r="E54" s="95"/>
      <c r="F54" s="95"/>
      <c r="G54" s="95"/>
      <c r="H54" s="97">
        <f>H53/$C$6</f>
        <v>0.12378768429348087</v>
      </c>
    </row>
    <row r="55" spans="2:8" ht="69" customHeight="1" x14ac:dyDescent="0.35">
      <c r="B55" s="73" t="str">
        <f>"Answer: In a 1-in-"&amp;TEXT(1/(1-C10),"#,##0")&amp;"-year bad year the bank loses "&amp;TEXT(H51,"₹#,##0.00")&amp;" cr. It already expects to lose "&amp;TEXT(H52,"₹#,##0.00")&amp;" cr on average (priced in and provisioned), so Credit VaR = "&amp;TEXT(H53,"₹#,##0.00")&amp;" cr – about "&amp;TEXT(H54,"0.0%")&amp;" of the book must be held as capital."</f>
        <v>Answer: In a 1-in-1,000-year bad year the bank loses ₹135.79 cr. It already expects to lose ₹12.00 cr on average (priced in and provisioned), so Credit VaR = ₹123.79 cr – about 12.4% of the book must be held as capital.</v>
      </c>
      <c r="C55" s="74"/>
      <c r="D55" s="74"/>
      <c r="E55" s="74"/>
      <c r="F55" s="74"/>
      <c r="G55" s="74"/>
      <c r="H55" s="75"/>
    </row>
    <row r="56" spans="2:8" x14ac:dyDescent="0.35">
      <c r="B56" s="13"/>
    </row>
    <row r="57" spans="2:8" ht="41" customHeight="1" x14ac:dyDescent="0.35">
      <c r="B57" s="72" t="s">
        <v>170</v>
      </c>
      <c r="C57" s="72"/>
      <c r="D57" s="72"/>
      <c r="E57" s="72"/>
      <c r="F57" s="72"/>
      <c r="G57" s="72"/>
      <c r="H57" s="72"/>
    </row>
    <row r="58" spans="2:8" ht="69" customHeight="1" x14ac:dyDescent="0.35">
      <c r="B58" s="8" t="s">
        <v>171</v>
      </c>
      <c r="C58" s="8" t="s">
        <v>172</v>
      </c>
      <c r="D58" s="8" t="s">
        <v>173</v>
      </c>
      <c r="E58" s="8" t="s">
        <v>174</v>
      </c>
      <c r="F58" s="8" t="s">
        <v>175</v>
      </c>
      <c r="G58" s="18" t="s">
        <v>125</v>
      </c>
      <c r="H58" s="18"/>
    </row>
    <row r="59" spans="2:8" ht="41" customHeight="1" x14ac:dyDescent="0.35">
      <c r="B59" s="98">
        <v>0</v>
      </c>
      <c r="C59" s="99">
        <f>_xlfn.NORM.S.DIST((_xlfn.NORM.S.INV($C$7)+SQRT(B59)*_xlfn.NORM.S.INV($C$10))/SQRT(1-B59),TRUE)</f>
        <v>2.0000000000000014E-2</v>
      </c>
      <c r="D59" s="100">
        <f>C59/$C$7</f>
        <v>1.0000000000000007</v>
      </c>
      <c r="E59" s="23">
        <f>$C$6*$C$8*C59</f>
        <v>12.000000000000009</v>
      </c>
      <c r="F59" s="23">
        <f>$C$6*$C$8*$C$7</f>
        <v>12</v>
      </c>
      <c r="G59" s="101">
        <f>E59-F59</f>
        <v>0</v>
      </c>
      <c r="H59" s="86"/>
    </row>
    <row r="60" spans="2:8" ht="41" customHeight="1" x14ac:dyDescent="0.35">
      <c r="B60" s="102">
        <v>0.05</v>
      </c>
      <c r="C60" s="103">
        <f>_xlfn.NORM.S.DIST((_xlfn.NORM.S.INV($C$7)+SQRT(B60)*_xlfn.NORM.S.INV($C$10))/SQRT(1-B60),TRUE)</f>
        <v>8.1033411858287038E-2</v>
      </c>
      <c r="D60" s="104">
        <f>C60/$C$7</f>
        <v>4.0516705929143519</v>
      </c>
      <c r="E60" s="27">
        <f>$C$6*$C$8*C60</f>
        <v>48.620047114972223</v>
      </c>
      <c r="F60" s="27">
        <f>$C$6*$C$8*$C$7</f>
        <v>12</v>
      </c>
      <c r="G60" s="105">
        <f>E60-F60</f>
        <v>36.620047114972223</v>
      </c>
      <c r="H60" s="89"/>
    </row>
    <row r="61" spans="2:8" ht="41" customHeight="1" x14ac:dyDescent="0.35">
      <c r="B61" s="98">
        <v>0.1</v>
      </c>
      <c r="C61" s="99">
        <f>_xlfn.NORM.S.DIST((_xlfn.NORM.S.INV($C$7)+SQRT(B61)*_xlfn.NORM.S.INV($C$10))/SQRT(1-B61),TRUE)</f>
        <v>0.12823710729942317</v>
      </c>
      <c r="D61" s="100">
        <f>C61/$C$7</f>
        <v>6.4118553649711583</v>
      </c>
      <c r="E61" s="23">
        <f>$C$6*$C$8*C61</f>
        <v>76.942264379653906</v>
      </c>
      <c r="F61" s="23">
        <f>$C$6*$C$8*$C$7</f>
        <v>12</v>
      </c>
      <c r="G61" s="101">
        <f>E61-F61</f>
        <v>64.942264379653906</v>
      </c>
      <c r="H61" s="86"/>
    </row>
    <row r="62" spans="2:8" ht="41" customHeight="1" x14ac:dyDescent="0.35">
      <c r="B62" s="102">
        <v>0.15</v>
      </c>
      <c r="C62" s="103">
        <f>_xlfn.NORM.S.DIST((_xlfn.NORM.S.INV($C$7)+SQRT(B62)*_xlfn.NORM.S.INV($C$10))/SQRT(1-B62),TRUE)</f>
        <v>0.17632893914619804</v>
      </c>
      <c r="D62" s="104">
        <f>C62/$C$7</f>
        <v>8.8164469573099016</v>
      </c>
      <c r="E62" s="27">
        <f>$C$6*$C$8*C62</f>
        <v>105.79736348771883</v>
      </c>
      <c r="F62" s="27">
        <f>$C$6*$C$8*$C$7</f>
        <v>12</v>
      </c>
      <c r="G62" s="105">
        <f>E62-F62</f>
        <v>93.797363487718826</v>
      </c>
      <c r="H62" s="89"/>
    </row>
    <row r="63" spans="2:8" ht="41" customHeight="1" x14ac:dyDescent="0.35">
      <c r="B63" s="98">
        <v>0.2</v>
      </c>
      <c r="C63" s="99">
        <f>_xlfn.NORM.S.DIST((_xlfn.NORM.S.INV($C$7)+SQRT(B63)*_xlfn.NORM.S.INV($C$10))/SQRT(1-B63),TRUE)</f>
        <v>0.22631280715580149</v>
      </c>
      <c r="D63" s="100">
        <f>C63/$C$7</f>
        <v>11.315640357790073</v>
      </c>
      <c r="E63" s="23">
        <f>$C$6*$C$8*C63</f>
        <v>135.78768429348088</v>
      </c>
      <c r="F63" s="23">
        <f>$C$6*$C$8*$C$7</f>
        <v>12</v>
      </c>
      <c r="G63" s="101">
        <f>E63-F63</f>
        <v>123.78768429348088</v>
      </c>
      <c r="H63" s="86"/>
    </row>
    <row r="64" spans="2:8" ht="41" customHeight="1" x14ac:dyDescent="0.35">
      <c r="B64" s="102">
        <v>0.3</v>
      </c>
      <c r="C64" s="103">
        <f>_xlfn.NORM.S.DIST((_xlfn.NORM.S.INV($C$7)+SQRT(B64)*_xlfn.NORM.S.INV($C$10))/SQRT(1-B64),TRUE)</f>
        <v>0.33299153427189654</v>
      </c>
      <c r="D64" s="104">
        <f>C64/$C$7</f>
        <v>16.649576713594826</v>
      </c>
      <c r="E64" s="27">
        <f>$C$6*$C$8*C64</f>
        <v>199.79492056313794</v>
      </c>
      <c r="F64" s="27">
        <f>$C$6*$C$8*$C$7</f>
        <v>12</v>
      </c>
      <c r="G64" s="105">
        <f>E64-F64</f>
        <v>187.79492056313794</v>
      </c>
      <c r="H64" s="89"/>
    </row>
    <row r="65" spans="2:8" ht="41" customHeight="1" x14ac:dyDescent="0.35">
      <c r="B65" s="106">
        <v>0.5</v>
      </c>
      <c r="C65" s="107">
        <f>_xlfn.NORM.S.DIST((_xlfn.NORM.S.INV($C$7)+SQRT(B65)*_xlfn.NORM.S.INV($C$10))/SQRT(1-B65),TRUE)</f>
        <v>0.57369635216794634</v>
      </c>
      <c r="D65" s="108">
        <f>C65/$C$7</f>
        <v>28.684817608397317</v>
      </c>
      <c r="E65" s="109">
        <f>$C$6*$C$8*C65</f>
        <v>344.21781130076783</v>
      </c>
      <c r="F65" s="109">
        <f>$C$6*$C$8*$C$7</f>
        <v>12</v>
      </c>
      <c r="G65" s="110">
        <f>E65-F65</f>
        <v>332.21781130076783</v>
      </c>
      <c r="H65" s="111"/>
    </row>
    <row r="66" spans="2:8" ht="98" customHeight="1" x14ac:dyDescent="0.35">
      <c r="B66" s="73" t="str">
        <f>"Answer: With ρ = 0 the WCDR equals the PD ("&amp;TEXT(C59,"0.00%")&amp;") – in a huge book of independent loans, good and bad luck cancel and Credit VaR is "&amp;TEXT(G59,"₹0.00")&amp;". As ρ rises borrowers fail together: at ρ = 20% WCDR is "&amp;TEXT(C63,"0.0%")&amp;" and at ρ = 50% it is "&amp;TEXT(C65,"0.0%")&amp;" ("&amp;TEXT(D65,"0.0")&amp;"× PD). Correlation is the single biggest driver of credit capital. Highlighted row = current input ρ."</f>
        <v>Answer: With ρ = 0 the WCDR equals the PD (2.00%) – in a huge book of independent loans, good and bad luck cancel and Credit VaR is ₹0.00. As ρ rises borrowers fail together: at ρ = 20% WCDR is 22.6% and at ρ = 50% it is 57.4% (28.7× PD). Correlation is the single biggest driver of credit capital. Highlighted row = current input ρ.</v>
      </c>
      <c r="C66" s="74"/>
      <c r="D66" s="74"/>
      <c r="E66" s="74"/>
      <c r="F66" s="74"/>
      <c r="G66" s="74"/>
      <c r="H66" s="75"/>
    </row>
    <row r="67" spans="2:8" x14ac:dyDescent="0.35">
      <c r="B67" s="13"/>
    </row>
    <row r="68" spans="2:8" ht="41" customHeight="1" x14ac:dyDescent="0.35">
      <c r="B68" s="72" t="s">
        <v>176</v>
      </c>
      <c r="C68" s="72"/>
      <c r="D68" s="72"/>
      <c r="E68" s="72"/>
      <c r="F68" s="72"/>
      <c r="G68" s="72"/>
      <c r="H68" s="72"/>
    </row>
    <row r="69" spans="2:8" ht="98" customHeight="1" x14ac:dyDescent="0.35">
      <c r="B69" s="8" t="s">
        <v>54</v>
      </c>
      <c r="C69" s="8" t="s">
        <v>177</v>
      </c>
      <c r="D69" s="8" t="s">
        <v>59</v>
      </c>
      <c r="E69" s="8" t="s">
        <v>172</v>
      </c>
      <c r="F69" s="8" t="s">
        <v>174</v>
      </c>
      <c r="G69" s="18" t="s">
        <v>125</v>
      </c>
      <c r="H69" s="18"/>
    </row>
    <row r="70" spans="2:8" ht="41" customHeight="1" x14ac:dyDescent="0.35">
      <c r="B70" s="112">
        <v>0.9</v>
      </c>
      <c r="C70" s="113">
        <f>1/(1-B70)</f>
        <v>10.000000000000002</v>
      </c>
      <c r="D70" s="114">
        <f>_xlfn.NORM.S.INV(B70)</f>
        <v>1.2815515655446006</v>
      </c>
      <c r="E70" s="99">
        <f>_xlfn.NORM.S.DIST((_xlfn.NORM.S.INV($C$7)+SQRT($C$9)*D70)/SQRT(1-$C$9),TRUE)</f>
        <v>4.8923182587475092E-2</v>
      </c>
      <c r="F70" s="23">
        <f>$C$6*$C$8*E70</f>
        <v>29.353909552485057</v>
      </c>
      <c r="G70" s="101">
        <f>F70-$C$6*$C$8*$C$7</f>
        <v>17.353909552485057</v>
      </c>
      <c r="H70" s="86"/>
    </row>
    <row r="71" spans="2:8" ht="41" customHeight="1" x14ac:dyDescent="0.35">
      <c r="B71" s="115">
        <v>0.95</v>
      </c>
      <c r="C71" s="116">
        <f>1/(1-B71)</f>
        <v>19.999999999999982</v>
      </c>
      <c r="D71" s="117">
        <f>_xlfn.NORM.S.INV(B71)</f>
        <v>1.6448536269514715</v>
      </c>
      <c r="E71" s="103">
        <f>_xlfn.NORM.S.DIST((_xlfn.NORM.S.INV($C$7)+SQRT($C$9)*D71)/SQRT(1-$C$9),TRUE)</f>
        <v>7.0276575576270678E-2</v>
      </c>
      <c r="F71" s="27">
        <f>$C$6*$C$8*E71</f>
        <v>42.16594534576241</v>
      </c>
      <c r="G71" s="105">
        <f>F71-$C$6*$C$8*$C$7</f>
        <v>30.16594534576241</v>
      </c>
      <c r="H71" s="89"/>
    </row>
    <row r="72" spans="2:8" ht="41" customHeight="1" x14ac:dyDescent="0.35">
      <c r="B72" s="112">
        <v>0.99</v>
      </c>
      <c r="C72" s="113">
        <f>1/(1-B72)</f>
        <v>99.999999999999915</v>
      </c>
      <c r="D72" s="114">
        <f>_xlfn.NORM.S.INV(B72)</f>
        <v>2.3263478740408408</v>
      </c>
      <c r="E72" s="99">
        <f>_xlfn.NORM.S.DIST((_xlfn.NORM.S.INV($C$7)+SQRT($C$9)*D72)/SQRT(1-$C$9),TRUE)</f>
        <v>0.12860982493247142</v>
      </c>
      <c r="F72" s="23">
        <f>$C$6*$C$8*E72</f>
        <v>77.165894959482856</v>
      </c>
      <c r="G72" s="101">
        <f>F72-$C$6*$C$8*$C$7</f>
        <v>65.165894959482856</v>
      </c>
      <c r="H72" s="86"/>
    </row>
    <row r="73" spans="2:8" ht="41" customHeight="1" x14ac:dyDescent="0.35">
      <c r="B73" s="115">
        <v>0.995</v>
      </c>
      <c r="C73" s="116">
        <f>1/(1-B73)</f>
        <v>199.99999999999983</v>
      </c>
      <c r="D73" s="117">
        <f>_xlfn.NORM.S.INV(B73)</f>
        <v>2.5758293035488999</v>
      </c>
      <c r="E73" s="103">
        <f>_xlfn.NORM.S.DIST((_xlfn.NORM.S.INV($C$7)+SQRT($C$9)*D73)/SQRT(1-$C$9),TRUE)</f>
        <v>0.15666808551699923</v>
      </c>
      <c r="F73" s="27">
        <f>$C$6*$C$8*E73</f>
        <v>94.000851310199536</v>
      </c>
      <c r="G73" s="105">
        <f>F73-$C$6*$C$8*$C$7</f>
        <v>82.000851310199536</v>
      </c>
      <c r="H73" s="89"/>
    </row>
    <row r="74" spans="2:8" ht="41" customHeight="1" x14ac:dyDescent="0.35">
      <c r="B74" s="118">
        <v>0.999</v>
      </c>
      <c r="C74" s="119">
        <f>1/(1-B74)</f>
        <v>999.99999999999909</v>
      </c>
      <c r="D74" s="120">
        <f>_xlfn.NORM.S.INV(B74)</f>
        <v>3.0902323061678132</v>
      </c>
      <c r="E74" s="107">
        <f>_xlfn.NORM.S.DIST((_xlfn.NORM.S.INV($C$7)+SQRT($C$9)*D74)/SQRT(1-$C$9),TRUE)</f>
        <v>0.22631280715580149</v>
      </c>
      <c r="F74" s="109">
        <f>$C$6*$C$8*E74</f>
        <v>135.78768429348088</v>
      </c>
      <c r="G74" s="110">
        <f>F74-$C$6*$C$8*$C$7</f>
        <v>123.78768429348088</v>
      </c>
      <c r="H74" s="111"/>
    </row>
    <row r="75" spans="2:8" ht="98" customHeight="1" x14ac:dyDescent="0.35">
      <c r="B75" s="73" t="str">
        <f>"Answer: Moving from 90% (a 1-in-10-year bad year) to 99.9% (1-in-1,000) raises the WCDR from "&amp;TEXT(E70,"0.0%")&amp;" to "&amp;TEXT(E74,"0.0%")&amp;" and Credit VaR from "&amp;TEXT(G70,"₹0.00")&amp;" to "&amp;TEXT(G74,"₹0.00")&amp;" cr. The tail is long: each extra '9' adds a lot of capital. Basel uses 99.9% so that a bank should fail from credit losses only about once in 1,000 years."</f>
        <v>Answer: Moving from 90% (a 1-in-10-year bad year) to 99.9% (1-in-1,000) raises the WCDR from 4.9% to 22.6% and Credit VaR from ₹17.35 to ₹123.79 cr. The tail is long: each extra '9' adds a lot of capital. Basel uses 99.9% so that a bank should fail from credit losses only about once in 1,000 years.</v>
      </c>
      <c r="C75" s="74"/>
      <c r="D75" s="74"/>
      <c r="E75" s="74"/>
      <c r="F75" s="74"/>
      <c r="G75" s="74"/>
      <c r="H75" s="75"/>
    </row>
    <row r="76" spans="2:8" x14ac:dyDescent="0.35">
      <c r="B76" s="13"/>
    </row>
    <row r="77" spans="2:8" ht="41" customHeight="1" x14ac:dyDescent="0.35">
      <c r="B77" s="72" t="s">
        <v>178</v>
      </c>
      <c r="C77" s="72"/>
      <c r="D77" s="72"/>
      <c r="E77" s="72"/>
      <c r="F77" s="72"/>
      <c r="G77" s="72"/>
      <c r="H77" s="72"/>
    </row>
    <row r="78" spans="2:8" ht="126" customHeight="1" x14ac:dyDescent="0.35">
      <c r="B78" s="73" t="s">
        <v>179</v>
      </c>
      <c r="C78" s="74"/>
      <c r="D78" s="74"/>
      <c r="E78" s="74"/>
      <c r="F78" s="74"/>
      <c r="G78" s="74"/>
      <c r="H78" s="75"/>
    </row>
    <row r="79" spans="2:8" x14ac:dyDescent="0.35">
      <c r="B79" s="13"/>
    </row>
    <row r="80" spans="2:8" ht="41" customHeight="1" x14ac:dyDescent="0.35">
      <c r="B80" s="72" t="s">
        <v>180</v>
      </c>
      <c r="C80" s="72"/>
      <c r="D80" s="72"/>
      <c r="E80" s="72"/>
      <c r="F80" s="72"/>
      <c r="G80" s="72"/>
      <c r="H80" s="72"/>
    </row>
    <row r="81" spans="2:8" ht="41" customHeight="1" x14ac:dyDescent="0.35">
      <c r="B81" s="82" t="s">
        <v>181</v>
      </c>
      <c r="C81" s="83"/>
      <c r="D81" s="83"/>
      <c r="E81" s="83"/>
      <c r="F81" s="83"/>
      <c r="G81" s="83"/>
      <c r="H81" s="84"/>
    </row>
    <row r="82" spans="2:8" ht="41" customHeight="1" x14ac:dyDescent="0.35">
      <c r="B82" s="8" t="s">
        <v>5</v>
      </c>
      <c r="C82" s="18" t="s">
        <v>19</v>
      </c>
      <c r="D82" s="18"/>
      <c r="E82" s="18"/>
      <c r="F82" s="18"/>
      <c r="G82" s="18"/>
      <c r="H82" s="8" t="s">
        <v>6</v>
      </c>
    </row>
    <row r="83" spans="2:8" ht="69" customHeight="1" x14ac:dyDescent="0.35">
      <c r="B83" s="9" t="s">
        <v>182</v>
      </c>
      <c r="C83" s="43" t="str">
        <f>TEXT($C$8,"0%")&amp;" × ( "&amp;TEXT(H43,"0.00%")&amp;" − "&amp;TEXT($C$7,"0.00%")&amp;" )   [maturity adjustment = 1 for simplicity]"</f>
        <v>60% × ( 22.63% − 2.00% )   [maturity adjustment = 1 for simplicity]</v>
      </c>
      <c r="D83" s="43"/>
      <c r="E83" s="43"/>
      <c r="F83" s="43"/>
      <c r="G83" s="43"/>
      <c r="H83" s="39">
        <f>$C$8*(H43-$C$7)</f>
        <v>0.12378768429348089</v>
      </c>
    </row>
    <row r="84" spans="2:8" ht="41" customHeight="1" x14ac:dyDescent="0.35">
      <c r="B84" s="121" t="s">
        <v>183</v>
      </c>
      <c r="C84" s="122" t="str">
        <f>"K × EAD = "&amp;TEXT(H83,"0.0000")&amp;" × "&amp;TEXT($C$6,"₹#,##0")</f>
        <v>K × EAD = 0.1238 × ₹1,000</v>
      </c>
      <c r="D84" s="122"/>
      <c r="E84" s="122"/>
      <c r="F84" s="122"/>
      <c r="G84" s="122"/>
      <c r="H84" s="33">
        <f>H83*$C$6</f>
        <v>123.78768429348089</v>
      </c>
    </row>
    <row r="85" spans="2:8" ht="41" customHeight="1" x14ac:dyDescent="0.35">
      <c r="B85" s="9" t="s">
        <v>184</v>
      </c>
      <c r="C85" s="43" t="s">
        <v>185</v>
      </c>
      <c r="D85" s="43"/>
      <c r="E85" s="43"/>
      <c r="F85" s="43"/>
      <c r="G85" s="43"/>
      <c r="H85" s="20">
        <f>12.5*H84</f>
        <v>1547.3460536685111</v>
      </c>
    </row>
    <row r="86" spans="2:8" ht="41" customHeight="1" x14ac:dyDescent="0.35">
      <c r="B86" s="94" t="s">
        <v>186</v>
      </c>
      <c r="C86" s="95" t="s">
        <v>187</v>
      </c>
      <c r="D86" s="95"/>
      <c r="E86" s="95"/>
      <c r="F86" s="95"/>
      <c r="G86" s="95"/>
      <c r="H86" s="123">
        <f>H84-H53</f>
        <v>0</v>
      </c>
    </row>
    <row r="87" spans="2:8" ht="98" customHeight="1" x14ac:dyDescent="0.35">
      <c r="B87" s="73" t="str">
        <f>"Answer: Basel capital is exactly the Credit VaR at 99.9%: K = "&amp;TEXT(H83,"0.00%")&amp;" of exposure, so capital = "&amp;TEXT(H84,"₹#,##0.00")&amp;" cr and RWA = "&amp;TEXT(H85,"₹#,##0.00")&amp;" cr (a risk weight of "&amp;TEXT(H85/C6,"0%")&amp;"). Basel fixes X = 99.9% and sets ρ by asset class (12%–24% for corporates, 15% for mortgages, 4% for revolving retail); banks supply PD and LGD."</f>
        <v>Answer: Basel capital is exactly the Credit VaR at 99.9%: K = 12.38% of exposure, so capital = ₹123.79 cr and RWA = ₹1,547.35 cr (a risk weight of 155%). Basel fixes X = 99.9% and sets ρ by asset class (12%–24% for corporates, 15% for mortgages, 4% for revolving retail); banks supply PD and LGD.</v>
      </c>
      <c r="C87" s="74"/>
      <c r="D87" s="74"/>
      <c r="E87" s="74"/>
      <c r="F87" s="74"/>
      <c r="G87" s="74"/>
      <c r="H87" s="75"/>
    </row>
    <row r="88" spans="2:8" x14ac:dyDescent="0.35">
      <c r="B88" s="13"/>
    </row>
    <row r="89" spans="2:8" ht="41" customHeight="1" x14ac:dyDescent="0.35">
      <c r="B89" s="72" t="s">
        <v>188</v>
      </c>
      <c r="C89" s="72"/>
      <c r="D89" s="72"/>
      <c r="E89" s="72"/>
      <c r="F89" s="72"/>
      <c r="G89" s="72"/>
      <c r="H89" s="72"/>
    </row>
    <row r="90" spans="2:8" ht="126" customHeight="1" x14ac:dyDescent="0.35">
      <c r="B90" s="73" t="s">
        <v>189</v>
      </c>
      <c r="C90" s="74"/>
      <c r="D90" s="74"/>
      <c r="E90" s="74"/>
      <c r="F90" s="74"/>
      <c r="G90" s="74"/>
      <c r="H90" s="75"/>
    </row>
    <row r="91" spans="2:8" x14ac:dyDescent="0.35">
      <c r="B91" s="13"/>
    </row>
    <row r="92" spans="2:8" ht="41" customHeight="1" x14ac:dyDescent="0.35">
      <c r="B92" s="72" t="s">
        <v>190</v>
      </c>
      <c r="C92" s="72"/>
      <c r="D92" s="72"/>
      <c r="E92" s="72"/>
      <c r="F92" s="72"/>
      <c r="G92" s="72"/>
      <c r="H92" s="72"/>
    </row>
    <row r="93" spans="2:8" ht="69" customHeight="1" x14ac:dyDescent="0.35">
      <c r="B93" s="8" t="s">
        <v>191</v>
      </c>
      <c r="C93" s="8" t="s">
        <v>172</v>
      </c>
      <c r="D93" s="8" t="s">
        <v>173</v>
      </c>
      <c r="E93" s="8" t="s">
        <v>175</v>
      </c>
      <c r="F93" s="18" t="s">
        <v>125</v>
      </c>
      <c r="G93" s="18"/>
      <c r="H93" s="18"/>
    </row>
    <row r="94" spans="2:8" ht="41" customHeight="1" x14ac:dyDescent="0.35">
      <c r="B94" s="124">
        <f>$C$7</f>
        <v>0.02</v>
      </c>
      <c r="C94" s="99">
        <f>_xlfn.NORM.S.DIST((_xlfn.NORM.S.INV(B94)+SQRT($C$9)*_xlfn.NORM.S.INV($C$10))/SQRT(1-$C$9),TRUE)</f>
        <v>0.22631280715580149</v>
      </c>
      <c r="D94" s="100">
        <f>C94/B94</f>
        <v>11.315640357790073</v>
      </c>
      <c r="E94" s="23">
        <f>$C$6*$C$8*B94</f>
        <v>12</v>
      </c>
      <c r="F94" s="101">
        <f>$C$6*$C$8*(C94-B94)</f>
        <v>123.78768429348089</v>
      </c>
      <c r="G94" s="86"/>
      <c r="H94" s="86"/>
    </row>
    <row r="95" spans="2:8" ht="41" customHeight="1" x14ac:dyDescent="0.35">
      <c r="B95" s="125">
        <v>0.04</v>
      </c>
      <c r="C95" s="126">
        <f>_xlfn.NORM.S.DIST((_xlfn.NORM.S.INV(B95)+SQRT($C$9)*_xlfn.NORM.S.INV($C$10))/SQRT(1-$C$9),TRUE)</f>
        <v>0.34009261549006098</v>
      </c>
      <c r="D95" s="127">
        <f>C95/B95</f>
        <v>8.5023153872515245</v>
      </c>
      <c r="E95" s="128">
        <f>$C$6*$C$8*B95</f>
        <v>24</v>
      </c>
      <c r="F95" s="129">
        <f>$C$6*$C$8*(C95-B95)</f>
        <v>180.05556929403659</v>
      </c>
      <c r="G95" s="130"/>
      <c r="H95" s="130"/>
    </row>
    <row r="96" spans="2:8" ht="98" customHeight="1" x14ac:dyDescent="0.35">
      <c r="B96" s="73" t="str">
        <f>"Answer: No. Doubling PD from "&amp;TEXT(B94,"0%")&amp;" to "&amp;TEXT(B95,"0%")&amp;" doubles expected loss ("&amp;TEXT(E94,"₹0.00")&amp;" → "&amp;TEXT(E95,"₹0.00")&amp;") but Credit VaR only rises "&amp;TEXT(F95/F94,"0.00")&amp;"× ("&amp;TEXT(F94,"₹0.00")&amp;" → "&amp;TEXT(F95,"₹0.00")&amp;"). WCDR falls from "&amp;TEXT(D94,"0.0")&amp;"× PD to "&amp;TEXT(D95,"0.0")&amp;"× PD – weaker borrowers are already 'in the tail', so their bad-year multiple is smaller. Capital is not linear in PD."</f>
        <v>Answer: No. Doubling PD from 2% to 4% doubles expected loss (₹12.00 → ₹24.00) but Credit VaR only rises 1.45× (₹123.79 → ₹180.06). WCDR falls from 11.3× PD to 8.5× PD – weaker borrowers are already 'in the tail', so their bad-year multiple is smaller. Capital is not linear in PD.</v>
      </c>
      <c r="C96" s="74"/>
      <c r="D96" s="74"/>
      <c r="E96" s="74"/>
      <c r="F96" s="74"/>
      <c r="G96" s="74"/>
      <c r="H96" s="75"/>
    </row>
  </sheetData>
  <mergeCells count="91">
    <mergeCell ref="B90:H90"/>
    <mergeCell ref="B92:H92"/>
    <mergeCell ref="F93:H93"/>
    <mergeCell ref="F94:H94"/>
    <mergeCell ref="F95:H95"/>
    <mergeCell ref="B96:H96"/>
    <mergeCell ref="C83:G83"/>
    <mergeCell ref="C84:G84"/>
    <mergeCell ref="C85:G85"/>
    <mergeCell ref="C86:G86"/>
    <mergeCell ref="B87:H87"/>
    <mergeCell ref="B89:H89"/>
    <mergeCell ref="B75:H75"/>
    <mergeCell ref="B77:H77"/>
    <mergeCell ref="B78:H78"/>
    <mergeCell ref="B80:H80"/>
    <mergeCell ref="B81:H81"/>
    <mergeCell ref="C82:G82"/>
    <mergeCell ref="G69:H69"/>
    <mergeCell ref="G70:H70"/>
    <mergeCell ref="G71:H71"/>
    <mergeCell ref="G72:H72"/>
    <mergeCell ref="G73:H73"/>
    <mergeCell ref="G74:H74"/>
    <mergeCell ref="G62:H62"/>
    <mergeCell ref="G63:H63"/>
    <mergeCell ref="G64:H64"/>
    <mergeCell ref="G65:H65"/>
    <mergeCell ref="B66:H66"/>
    <mergeCell ref="B68:H68"/>
    <mergeCell ref="B55:H55"/>
    <mergeCell ref="B57:H57"/>
    <mergeCell ref="G58:H58"/>
    <mergeCell ref="G59:H59"/>
    <mergeCell ref="G60:H60"/>
    <mergeCell ref="G61:H61"/>
    <mergeCell ref="B49:H49"/>
    <mergeCell ref="C50:G50"/>
    <mergeCell ref="C51:G51"/>
    <mergeCell ref="C52:G52"/>
    <mergeCell ref="C53:G53"/>
    <mergeCell ref="C54:G54"/>
    <mergeCell ref="C42:G42"/>
    <mergeCell ref="C43:G43"/>
    <mergeCell ref="C44:G44"/>
    <mergeCell ref="B45:H45"/>
    <mergeCell ref="B46:H46"/>
    <mergeCell ref="B48:H48"/>
    <mergeCell ref="C36:G36"/>
    <mergeCell ref="C37:G37"/>
    <mergeCell ref="C38:G38"/>
    <mergeCell ref="C39:G39"/>
    <mergeCell ref="C40:G40"/>
    <mergeCell ref="C41:G41"/>
    <mergeCell ref="C31:D31"/>
    <mergeCell ref="E31:F31"/>
    <mergeCell ref="G31:H31"/>
    <mergeCell ref="B32:H32"/>
    <mergeCell ref="B34:H34"/>
    <mergeCell ref="B35:H35"/>
    <mergeCell ref="C29:D29"/>
    <mergeCell ref="E29:F29"/>
    <mergeCell ref="G29:H29"/>
    <mergeCell ref="C30:D30"/>
    <mergeCell ref="E30:F30"/>
    <mergeCell ref="G30:H30"/>
    <mergeCell ref="C27:D27"/>
    <mergeCell ref="E27:F27"/>
    <mergeCell ref="G27:H27"/>
    <mergeCell ref="C28:D28"/>
    <mergeCell ref="E28:F28"/>
    <mergeCell ref="G28:H28"/>
    <mergeCell ref="B24:H24"/>
    <mergeCell ref="C25:D25"/>
    <mergeCell ref="E25:F25"/>
    <mergeCell ref="G25:H25"/>
    <mergeCell ref="C26:D26"/>
    <mergeCell ref="E26:F26"/>
    <mergeCell ref="G26:H26"/>
    <mergeCell ref="B16:H16"/>
    <mergeCell ref="B18:H18"/>
    <mergeCell ref="B19:H19"/>
    <mergeCell ref="B20:H20"/>
    <mergeCell ref="B22:H22"/>
    <mergeCell ref="B23:H23"/>
    <mergeCell ref="B1:H1"/>
    <mergeCell ref="B2:H2"/>
    <mergeCell ref="B4:H4"/>
    <mergeCell ref="B12:H12"/>
    <mergeCell ref="B13:H13"/>
    <mergeCell ref="B15:H15"/>
  </mergeCells>
  <conditionalFormatting sqref="B59:H65">
    <cfRule type="expression" dxfId="1" priority="1">
      <formula>$B59=$C$9</formula>
    </cfRule>
  </conditionalFormatting>
  <conditionalFormatting sqref="B70:H74">
    <cfRule type="expression" dxfId="0" priority="2">
      <formula>$B70=$C$10</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85280-3CB0-684E-B2AE-66D5804267B4}">
  <sheetPr>
    <tabColor rgb="FF0B2E4F"/>
  </sheetPr>
  <dimension ref="A1:Z70"/>
  <sheetViews>
    <sheetView showGridLines="0" workbookViewId="0">
      <pane ySplit="2" topLeftCell="A9" activePane="bottomLeft" state="frozen"/>
      <selection activeCell="G66" sqref="G66"/>
      <selection pane="bottomLeft" activeCell="B14" sqref="B14"/>
    </sheetView>
  </sheetViews>
  <sheetFormatPr baseColWidth="10" defaultRowHeight="27" x14ac:dyDescent="0.35"/>
  <cols>
    <col min="1" max="1" width="3.33203125" style="131" customWidth="1"/>
    <col min="2" max="2" width="70" style="131" customWidth="1"/>
    <col min="3" max="8" width="25" style="131" customWidth="1"/>
    <col min="9" max="26" width="10.83203125" style="131"/>
    <col min="27" max="16384" width="10.83203125" style="133"/>
  </cols>
  <sheetData>
    <row r="1" spans="2:8" ht="48" customHeight="1" x14ac:dyDescent="0.35">
      <c r="B1" s="132" t="s">
        <v>192</v>
      </c>
      <c r="C1" s="132"/>
      <c r="D1" s="132"/>
      <c r="E1" s="132"/>
      <c r="F1" s="132"/>
      <c r="G1" s="132"/>
      <c r="H1" s="132"/>
    </row>
    <row r="2" spans="2:8" ht="41" customHeight="1" x14ac:dyDescent="0.35">
      <c r="B2" s="134" t="s">
        <v>193</v>
      </c>
      <c r="C2" s="134"/>
      <c r="D2" s="134"/>
      <c r="E2" s="134"/>
      <c r="F2" s="134"/>
      <c r="G2" s="134"/>
      <c r="H2" s="134"/>
    </row>
    <row r="4" spans="2:8" ht="41" customHeight="1" x14ac:dyDescent="0.35">
      <c r="B4" s="135" t="s">
        <v>194</v>
      </c>
      <c r="C4" s="135"/>
      <c r="D4" s="135"/>
      <c r="E4" s="135"/>
      <c r="F4" s="135"/>
      <c r="G4" s="135"/>
      <c r="H4" s="135"/>
    </row>
    <row r="5" spans="2:8" ht="155" customHeight="1" x14ac:dyDescent="0.35">
      <c r="B5" s="136" t="s">
        <v>195</v>
      </c>
      <c r="C5" s="137"/>
      <c r="D5" s="137"/>
      <c r="E5" s="137"/>
      <c r="F5" s="137"/>
      <c r="G5" s="137"/>
      <c r="H5" s="138"/>
    </row>
    <row r="6" spans="2:8" ht="69" customHeight="1" x14ac:dyDescent="0.35">
      <c r="B6" s="139" t="s">
        <v>196</v>
      </c>
      <c r="C6" s="140"/>
      <c r="D6" s="140"/>
      <c r="E6" s="140"/>
      <c r="F6" s="140"/>
      <c r="G6" s="140"/>
      <c r="H6" s="141"/>
    </row>
    <row r="7" spans="2:8" x14ac:dyDescent="0.35">
      <c r="B7" s="142"/>
    </row>
    <row r="8" spans="2:8" s="131" customFormat="1" ht="26" customHeight="1" x14ac:dyDescent="0.35">
      <c r="B8" s="143" t="s">
        <v>197</v>
      </c>
      <c r="C8" s="143"/>
      <c r="D8" s="143"/>
      <c r="E8" s="143"/>
      <c r="F8" s="143"/>
      <c r="G8" s="143"/>
      <c r="H8" s="143"/>
    </row>
    <row r="9" spans="2:8" s="131" customFormat="1" ht="67" customHeight="1" x14ac:dyDescent="0.35">
      <c r="B9" s="144" t="s">
        <v>198</v>
      </c>
      <c r="C9" s="145"/>
      <c r="D9" s="145"/>
      <c r="E9" s="145"/>
      <c r="F9" s="145"/>
      <c r="G9" s="145"/>
      <c r="H9" s="146"/>
    </row>
    <row r="10" spans="2:8" s="131" customFormat="1" x14ac:dyDescent="0.35"/>
    <row r="11" spans="2:8" ht="41" customHeight="1" x14ac:dyDescent="0.35">
      <c r="B11" s="135" t="s">
        <v>199</v>
      </c>
      <c r="C11" s="135"/>
      <c r="D11" s="135"/>
      <c r="E11" s="135"/>
      <c r="F11" s="135"/>
      <c r="G11" s="135"/>
      <c r="H11" s="135"/>
    </row>
    <row r="12" spans="2:8" ht="41" customHeight="1" x14ac:dyDescent="0.35">
      <c r="B12" s="147" t="s">
        <v>5</v>
      </c>
      <c r="C12" s="147" t="s">
        <v>6</v>
      </c>
      <c r="D12" s="148" t="s">
        <v>200</v>
      </c>
      <c r="E12" s="148"/>
      <c r="F12" s="148"/>
      <c r="G12" s="148"/>
      <c r="H12" s="148"/>
    </row>
    <row r="13" spans="2:8" ht="69" customHeight="1" x14ac:dyDescent="0.35">
      <c r="B13" s="149" t="s">
        <v>201</v>
      </c>
      <c r="C13" s="150">
        <v>0.4</v>
      </c>
      <c r="D13" s="151" t="s">
        <v>202</v>
      </c>
      <c r="E13" s="152"/>
      <c r="F13" s="152"/>
      <c r="G13" s="152"/>
      <c r="H13" s="152"/>
    </row>
    <row r="14" spans="2:8" ht="69" customHeight="1" x14ac:dyDescent="0.35">
      <c r="B14" s="149" t="s">
        <v>203</v>
      </c>
      <c r="C14" s="150">
        <v>0.1</v>
      </c>
      <c r="D14" s="151" t="s">
        <v>204</v>
      </c>
      <c r="E14" s="152"/>
      <c r="F14" s="152"/>
      <c r="G14" s="152"/>
      <c r="H14" s="152"/>
    </row>
    <row r="15" spans="2:8" ht="69" customHeight="1" x14ac:dyDescent="0.35">
      <c r="B15" s="149" t="s">
        <v>205</v>
      </c>
      <c r="C15" s="150">
        <v>0.02</v>
      </c>
      <c r="D15" s="151" t="s">
        <v>206</v>
      </c>
      <c r="E15" s="152"/>
      <c r="F15" s="152"/>
      <c r="G15" s="152"/>
      <c r="H15" s="152"/>
    </row>
    <row r="16" spans="2:8" ht="41" customHeight="1" x14ac:dyDescent="0.35">
      <c r="B16" s="149" t="s">
        <v>51</v>
      </c>
      <c r="C16" s="150">
        <v>0.45</v>
      </c>
      <c r="D16" s="151" t="s">
        <v>207</v>
      </c>
      <c r="E16" s="152"/>
      <c r="F16" s="152"/>
      <c r="G16" s="152"/>
      <c r="H16" s="152"/>
    </row>
    <row r="17" spans="2:8" ht="41" customHeight="1" x14ac:dyDescent="0.35">
      <c r="B17" s="149" t="s">
        <v>52</v>
      </c>
      <c r="C17" s="150">
        <v>0.2</v>
      </c>
      <c r="D17" s="151" t="s">
        <v>208</v>
      </c>
      <c r="E17" s="152"/>
      <c r="F17" s="152"/>
      <c r="G17" s="152"/>
      <c r="H17" s="152"/>
    </row>
    <row r="18" spans="2:8" ht="41" customHeight="1" x14ac:dyDescent="0.35">
      <c r="B18" s="149" t="s">
        <v>54</v>
      </c>
      <c r="C18" s="150">
        <v>0.999</v>
      </c>
      <c r="D18" s="151" t="s">
        <v>209</v>
      </c>
      <c r="E18" s="152"/>
      <c r="F18" s="152"/>
      <c r="G18" s="152"/>
      <c r="H18" s="152"/>
    </row>
    <row r="19" spans="2:8" x14ac:dyDescent="0.35">
      <c r="B19" s="142"/>
    </row>
    <row r="20" spans="2:8" ht="41" customHeight="1" x14ac:dyDescent="0.35">
      <c r="B20" s="135" t="s">
        <v>210</v>
      </c>
      <c r="C20" s="135"/>
      <c r="D20" s="135"/>
      <c r="E20" s="135"/>
      <c r="F20" s="135"/>
      <c r="G20" s="135"/>
      <c r="H20" s="135"/>
    </row>
    <row r="21" spans="2:8" ht="69" customHeight="1" x14ac:dyDescent="0.35">
      <c r="B21" s="136" t="s">
        <v>211</v>
      </c>
      <c r="C21" s="137"/>
      <c r="D21" s="137"/>
      <c r="E21" s="137"/>
      <c r="F21" s="137"/>
      <c r="G21" s="137"/>
      <c r="H21" s="138"/>
    </row>
    <row r="22" spans="2:8" ht="41" customHeight="1" x14ac:dyDescent="0.35">
      <c r="B22" s="147" t="s">
        <v>5</v>
      </c>
      <c r="C22" s="147" t="s">
        <v>6</v>
      </c>
      <c r="D22" s="148" t="s">
        <v>200</v>
      </c>
      <c r="E22" s="148"/>
      <c r="F22" s="148"/>
      <c r="G22" s="148"/>
      <c r="H22" s="148"/>
    </row>
    <row r="23" spans="2:8" ht="41" customHeight="1" x14ac:dyDescent="0.35">
      <c r="B23" s="149" t="s">
        <v>212</v>
      </c>
      <c r="C23" s="153">
        <v>100</v>
      </c>
      <c r="D23" s="151" t="s">
        <v>9</v>
      </c>
      <c r="E23" s="152"/>
      <c r="F23" s="152"/>
      <c r="G23" s="152"/>
      <c r="H23" s="152"/>
    </row>
    <row r="24" spans="2:8" ht="41" customHeight="1" x14ac:dyDescent="0.35">
      <c r="B24" s="154" t="s">
        <v>213</v>
      </c>
      <c r="C24" s="155">
        <v>60</v>
      </c>
      <c r="D24" s="156" t="s">
        <v>9</v>
      </c>
      <c r="E24" s="157"/>
      <c r="F24" s="157"/>
      <c r="G24" s="157"/>
      <c r="H24" s="157"/>
    </row>
    <row r="25" spans="2:8" ht="41" customHeight="1" x14ac:dyDescent="0.35">
      <c r="B25" s="158" t="str">
        <f>"Exposure at Default = Drawn + Credit Conversion Factor × (Limit − Drawn) = "&amp;TEXT(C24,"₹#,##0")&amp;" + "&amp;TEXT(C13,"0%")&amp;" × ("&amp;TEXT(C23,"₹#,##0")&amp;" − "&amp;TEXT(C24,"₹#,##0")&amp;")"</f>
        <v>Exposure at Default = Drawn + Credit Conversion Factor × (Limit − Drawn) = ₹60 + 40% × (₹100 − ₹60)</v>
      </c>
      <c r="C25" s="159"/>
      <c r="D25" s="159"/>
      <c r="E25" s="159"/>
      <c r="F25" s="159"/>
      <c r="G25" s="159"/>
      <c r="H25" s="160"/>
    </row>
    <row r="26" spans="2:8" ht="41" customHeight="1" x14ac:dyDescent="0.35">
      <c r="B26" s="147" t="s">
        <v>5</v>
      </c>
      <c r="C26" s="148" t="s">
        <v>19</v>
      </c>
      <c r="D26" s="148"/>
      <c r="E26" s="148"/>
      <c r="F26" s="148"/>
      <c r="G26" s="148"/>
      <c r="H26" s="147" t="s">
        <v>6</v>
      </c>
    </row>
    <row r="27" spans="2:8" ht="41" customHeight="1" x14ac:dyDescent="0.35">
      <c r="B27" s="149" t="s">
        <v>214</v>
      </c>
      <c r="C27" s="152" t="str">
        <f>TEXT(C23,"₹#,##0")&amp;" − "&amp;TEXT(C24,"₹#,##0")</f>
        <v>₹100 − ₹60</v>
      </c>
      <c r="D27" s="152"/>
      <c r="E27" s="152"/>
      <c r="F27" s="152"/>
      <c r="G27" s="152"/>
      <c r="H27" s="161">
        <f>C23-C24</f>
        <v>40</v>
      </c>
    </row>
    <row r="28" spans="2:8" ht="41" customHeight="1" x14ac:dyDescent="0.35">
      <c r="B28" s="149" t="s">
        <v>215</v>
      </c>
      <c r="C28" s="152" t="str">
        <f>"Credit Conversion Factor × Undrawn = "&amp;TEXT(C13,"0%")&amp;" × "&amp;TEXT(H27,"₹#,##0.00")</f>
        <v>Credit Conversion Factor × Undrawn = 40% × ₹40.00</v>
      </c>
      <c r="D28" s="152"/>
      <c r="E28" s="152"/>
      <c r="F28" s="152"/>
      <c r="G28" s="152"/>
      <c r="H28" s="161">
        <f>C13*H27</f>
        <v>16</v>
      </c>
    </row>
    <row r="29" spans="2:8" ht="41" customHeight="1" x14ac:dyDescent="0.35">
      <c r="B29" s="162" t="s">
        <v>216</v>
      </c>
      <c r="C29" s="163" t="str">
        <f>"Drawn + draw-down = "&amp;TEXT(C24,"₹#,##0.00")&amp;" + "&amp;TEXT(H28,"₹#,##0.00")</f>
        <v>Drawn + draw-down = ₹60.00 + ₹16.00</v>
      </c>
      <c r="D29" s="163"/>
      <c r="E29" s="163"/>
      <c r="F29" s="163"/>
      <c r="G29" s="163"/>
      <c r="H29" s="164">
        <f>C24+H28</f>
        <v>76</v>
      </c>
    </row>
    <row r="30" spans="2:8" ht="69" customHeight="1" x14ac:dyDescent="0.35">
      <c r="B30" s="154" t="s">
        <v>39</v>
      </c>
      <c r="C30" s="157" t="str">
        <f>"Exposure at Default × Probability of Default × Loss Given Default = "&amp;TEXT(H29,"₹#,##0.00")&amp;" × "&amp;TEXT(C15,"0.0%")&amp;" × "&amp;TEXT(C16,"0%")</f>
        <v>Exposure at Default × Probability of Default × Loss Given Default = ₹76.00 × 2.0% × 45%</v>
      </c>
      <c r="D30" s="157"/>
      <c r="E30" s="157"/>
      <c r="F30" s="157"/>
      <c r="G30" s="157"/>
      <c r="H30" s="165">
        <f>H29*C15*C16</f>
        <v>0.68400000000000005</v>
      </c>
    </row>
    <row r="31" spans="2:8" ht="69" customHeight="1" x14ac:dyDescent="0.35">
      <c r="B31" s="166" t="str">
        <f>"Answer: Exposure at Default = "&amp;TEXT(H29,"₹#,##0.00")&amp;" crore, not just the "&amp;TEXT(C24,"₹#,##0")&amp;" crore drawn. Because the line is committed, the bank expects the company to draw another "&amp;TEXT(H28,"₹#,##0.00")&amp;" crore before it defaults. Expected Loss = "&amp;TEXT(H30,"₹#,##0.00")&amp;" crore."</f>
        <v>Answer: Exposure at Default = ₹76.00 crore, not just the ₹60 crore drawn. Because the line is committed, the bank expects the company to draw another ₹16.00 crore before it defaults. Expected Loss = ₹0.68 crore.</v>
      </c>
      <c r="C31" s="167"/>
      <c r="D31" s="167"/>
      <c r="E31" s="167"/>
      <c r="F31" s="167"/>
      <c r="G31" s="167"/>
      <c r="H31" s="168"/>
    </row>
    <row r="32" spans="2:8" x14ac:dyDescent="0.35">
      <c r="B32" s="142"/>
    </row>
    <row r="33" spans="2:8" ht="41" customHeight="1" x14ac:dyDescent="0.35">
      <c r="B33" s="135" t="s">
        <v>217</v>
      </c>
      <c r="C33" s="135"/>
      <c r="D33" s="135"/>
      <c r="E33" s="135"/>
      <c r="F33" s="135"/>
      <c r="G33" s="135"/>
      <c r="H33" s="135"/>
    </row>
    <row r="34" spans="2:8" ht="69" customHeight="1" x14ac:dyDescent="0.35">
      <c r="B34" s="136" t="s">
        <v>218</v>
      </c>
      <c r="C34" s="137"/>
      <c r="D34" s="137"/>
      <c r="E34" s="137"/>
      <c r="F34" s="137"/>
      <c r="G34" s="137"/>
      <c r="H34" s="138"/>
    </row>
    <row r="35" spans="2:8" ht="41" customHeight="1" x14ac:dyDescent="0.35">
      <c r="B35" s="158" t="str">
        <f>"Exposure at Default = "&amp;TEXT(C24,"₹#,##0")&amp;" + "&amp;TEXT(C14,"0%")&amp;" × ("&amp;TEXT(C23,"₹#,##0")&amp;" − "&amp;TEXT(C24,"₹#,##0")&amp;")"</f>
        <v>Exposure at Default = ₹60 + 10% × (₹100 − ₹60)</v>
      </c>
      <c r="C35" s="159"/>
      <c r="D35" s="159"/>
      <c r="E35" s="159"/>
      <c r="F35" s="159"/>
      <c r="G35" s="159"/>
      <c r="H35" s="160"/>
    </row>
    <row r="36" spans="2:8" ht="41" customHeight="1" x14ac:dyDescent="0.35">
      <c r="B36" s="147" t="s">
        <v>5</v>
      </c>
      <c r="C36" s="148" t="s">
        <v>19</v>
      </c>
      <c r="D36" s="148"/>
      <c r="E36" s="148"/>
      <c r="F36" s="148"/>
      <c r="G36" s="148"/>
      <c r="H36" s="147" t="s">
        <v>6</v>
      </c>
    </row>
    <row r="37" spans="2:8" ht="41" customHeight="1" x14ac:dyDescent="0.35">
      <c r="B37" s="149" t="s">
        <v>214</v>
      </c>
      <c r="C37" s="152" t="s">
        <v>219</v>
      </c>
      <c r="D37" s="152"/>
      <c r="E37" s="152"/>
      <c r="F37" s="152"/>
      <c r="G37" s="152"/>
      <c r="H37" s="161">
        <f>C23-C24</f>
        <v>40</v>
      </c>
    </row>
    <row r="38" spans="2:8" ht="41" customHeight="1" x14ac:dyDescent="0.35">
      <c r="B38" s="149" t="s">
        <v>215</v>
      </c>
      <c r="C38" s="152" t="str">
        <f>"Credit Conversion Factor × Undrawn = "&amp;TEXT(C14,"0%")&amp;" × "&amp;TEXT(H37,"₹#,##0.00")</f>
        <v>Credit Conversion Factor × Undrawn = 10% × ₹40.00</v>
      </c>
      <c r="D38" s="152"/>
      <c r="E38" s="152"/>
      <c r="F38" s="152"/>
      <c r="G38" s="152"/>
      <c r="H38" s="161">
        <f>C14*H37</f>
        <v>4</v>
      </c>
    </row>
    <row r="39" spans="2:8" ht="41" customHeight="1" x14ac:dyDescent="0.35">
      <c r="B39" s="162" t="s">
        <v>216</v>
      </c>
      <c r="C39" s="163" t="str">
        <f>"Drawn + draw-down = "&amp;TEXT(C24,"₹#,##0.00")&amp;" + "&amp;TEXT(H38,"₹#,##0.00")</f>
        <v>Drawn + draw-down = ₹60.00 + ₹4.00</v>
      </c>
      <c r="D39" s="163"/>
      <c r="E39" s="163"/>
      <c r="F39" s="163"/>
      <c r="G39" s="163"/>
      <c r="H39" s="164">
        <f>C24+H38</f>
        <v>64</v>
      </c>
    </row>
    <row r="40" spans="2:8" ht="69" customHeight="1" x14ac:dyDescent="0.35">
      <c r="B40" s="149" t="s">
        <v>39</v>
      </c>
      <c r="C40" s="152" t="str">
        <f>"Exposure at Default × Probability of Default × Loss Given Default = "&amp;TEXT(H39,"₹#,##0.00")&amp;" × "&amp;TEXT(C15,"0.0%")&amp;" × "&amp;TEXT(C16,"0%")</f>
        <v>Exposure at Default × Probability of Default × Loss Given Default = ₹64.00 × 2.0% × 45%</v>
      </c>
      <c r="D40" s="152"/>
      <c r="E40" s="152"/>
      <c r="F40" s="152"/>
      <c r="G40" s="152"/>
      <c r="H40" s="161">
        <f>H39*C15*C16</f>
        <v>0.57600000000000007</v>
      </c>
    </row>
    <row r="41" spans="2:8" ht="69" customHeight="1" x14ac:dyDescent="0.35">
      <c r="B41" s="154" t="s">
        <v>220</v>
      </c>
      <c r="C41" s="157" t="s">
        <v>221</v>
      </c>
      <c r="D41" s="157"/>
      <c r="E41" s="157"/>
      <c r="F41" s="157"/>
      <c r="G41" s="157"/>
      <c r="H41" s="165">
        <f>H29-H39</f>
        <v>12</v>
      </c>
    </row>
    <row r="42" spans="2:8" ht="98" customHeight="1" x14ac:dyDescent="0.35">
      <c r="B42" s="166" t="str">
        <f>"Answer: Exposure at Default = "&amp;TEXT(H39,"₹#,##0.00")&amp;" crore vs "&amp;TEXT(H29,"₹#,##0.00")&amp;" crore for the committed line – "&amp;TEXT(H41,"₹#,##0.00")&amp;" crore less. The bank can stop lending when the borrower weakens, so most of the undrawn amount never becomes exposure. That is why committed lines carry a commitment fee and more capital."</f>
        <v>Answer: Exposure at Default = ₹64.00 crore vs ₹76.00 crore for the committed line – ₹12.00 crore less. The bank can stop lending when the borrower weakens, so most of the undrawn amount never becomes exposure. That is why committed lines carry a commitment fee and more capital.</v>
      </c>
      <c r="C42" s="167"/>
      <c r="D42" s="167"/>
      <c r="E42" s="167"/>
      <c r="F42" s="167"/>
      <c r="G42" s="167"/>
      <c r="H42" s="168"/>
    </row>
    <row r="43" spans="2:8" x14ac:dyDescent="0.35">
      <c r="B43" s="142"/>
    </row>
    <row r="44" spans="2:8" ht="41" customHeight="1" x14ac:dyDescent="0.35">
      <c r="B44" s="135" t="s">
        <v>222</v>
      </c>
      <c r="C44" s="135"/>
      <c r="D44" s="135"/>
      <c r="E44" s="135"/>
      <c r="F44" s="135"/>
      <c r="G44" s="135"/>
      <c r="H44" s="135"/>
    </row>
    <row r="45" spans="2:8" ht="98" customHeight="1" x14ac:dyDescent="0.35">
      <c r="B45" s="136" t="s">
        <v>223</v>
      </c>
      <c r="C45" s="137"/>
      <c r="D45" s="137"/>
      <c r="E45" s="137"/>
      <c r="F45" s="137"/>
      <c r="G45" s="137"/>
      <c r="H45" s="138"/>
    </row>
    <row r="46" spans="2:8" ht="98" customHeight="1" x14ac:dyDescent="0.35">
      <c r="B46" s="147" t="s">
        <v>224</v>
      </c>
      <c r="C46" s="147" t="s">
        <v>225</v>
      </c>
      <c r="D46" s="147" t="s">
        <v>226</v>
      </c>
      <c r="E46" s="147" t="s">
        <v>227</v>
      </c>
      <c r="F46" s="147" t="s">
        <v>228</v>
      </c>
      <c r="G46" s="147" t="s">
        <v>229</v>
      </c>
      <c r="H46" s="147" t="s">
        <v>230</v>
      </c>
    </row>
    <row r="47" spans="2:8" ht="41" customHeight="1" x14ac:dyDescent="0.35">
      <c r="B47" s="149" t="s">
        <v>231</v>
      </c>
      <c r="C47" s="169" t="s">
        <v>231</v>
      </c>
      <c r="D47" s="170">
        <v>50</v>
      </c>
      <c r="E47" s="170">
        <v>50</v>
      </c>
      <c r="F47" s="171">
        <f>D47-E47</f>
        <v>0</v>
      </c>
      <c r="G47" s="172">
        <f>IF(C47="Uncommitted",$C$14,IF(C47="Committed",$C$13,0))</f>
        <v>0</v>
      </c>
      <c r="H47" s="171">
        <f>E47+G47*F47</f>
        <v>50</v>
      </c>
    </row>
    <row r="48" spans="2:8" ht="41" customHeight="1" x14ac:dyDescent="0.35">
      <c r="B48" s="173" t="s">
        <v>232</v>
      </c>
      <c r="C48" s="174" t="s">
        <v>233</v>
      </c>
      <c r="D48" s="175">
        <v>80</v>
      </c>
      <c r="E48" s="175">
        <v>30</v>
      </c>
      <c r="F48" s="176">
        <f>D48-E48</f>
        <v>50</v>
      </c>
      <c r="G48" s="177">
        <f>IF(C48="Uncommitted",$C$14,IF(C48="Committed",$C$13,0))</f>
        <v>0.4</v>
      </c>
      <c r="H48" s="176">
        <f>E48+G48*F48</f>
        <v>50</v>
      </c>
    </row>
    <row r="49" spans="2:8" ht="41" customHeight="1" x14ac:dyDescent="0.35">
      <c r="B49" s="149" t="s">
        <v>234</v>
      </c>
      <c r="C49" s="169" t="s">
        <v>235</v>
      </c>
      <c r="D49" s="170">
        <v>40</v>
      </c>
      <c r="E49" s="170">
        <v>10</v>
      </c>
      <c r="F49" s="171">
        <f>D49-E49</f>
        <v>30</v>
      </c>
      <c r="G49" s="172">
        <f>IF(C49="Uncommitted",$C$14,IF(C49="Committed",$C$13,0))</f>
        <v>0.1</v>
      </c>
      <c r="H49" s="171">
        <f>E49+G49*F49</f>
        <v>13</v>
      </c>
    </row>
    <row r="50" spans="2:8" ht="41" customHeight="1" x14ac:dyDescent="0.35">
      <c r="B50" s="178" t="s">
        <v>236</v>
      </c>
      <c r="C50" s="179" t="s">
        <v>233</v>
      </c>
      <c r="D50" s="180">
        <v>60</v>
      </c>
      <c r="E50" s="180">
        <v>0</v>
      </c>
      <c r="F50" s="181">
        <f>D50-E50</f>
        <v>60</v>
      </c>
      <c r="G50" s="182">
        <f>IF(C50="Uncommitted",$C$14,IF(C50="Committed",$C$13,0))</f>
        <v>0.4</v>
      </c>
      <c r="H50" s="181">
        <f>E50+G50*F50</f>
        <v>24</v>
      </c>
    </row>
    <row r="51" spans="2:8" ht="41" customHeight="1" x14ac:dyDescent="0.35">
      <c r="B51" s="183" t="s">
        <v>237</v>
      </c>
      <c r="C51" s="184"/>
      <c r="D51" s="185">
        <f>SUM(D47:D50)</f>
        <v>230</v>
      </c>
      <c r="E51" s="185">
        <f>SUM(E47:E50)</f>
        <v>90</v>
      </c>
      <c r="F51" s="185">
        <f>SUM(F47:F50)</f>
        <v>140</v>
      </c>
      <c r="G51" s="186"/>
      <c r="H51" s="185">
        <f>SUM(H47:H50)</f>
        <v>137</v>
      </c>
    </row>
    <row r="52" spans="2:8" ht="69" customHeight="1" x14ac:dyDescent="0.35">
      <c r="B52" s="158" t="s">
        <v>238</v>
      </c>
      <c r="C52" s="159"/>
      <c r="D52" s="159"/>
      <c r="E52" s="159"/>
      <c r="F52" s="159"/>
      <c r="G52" s="159"/>
      <c r="H52" s="160"/>
    </row>
    <row r="53" spans="2:8" ht="41" customHeight="1" x14ac:dyDescent="0.35">
      <c r="B53" s="147" t="s">
        <v>5</v>
      </c>
      <c r="C53" s="148" t="s">
        <v>19</v>
      </c>
      <c r="D53" s="148"/>
      <c r="E53" s="148"/>
      <c r="F53" s="148"/>
      <c r="G53" s="148"/>
      <c r="H53" s="147" t="s">
        <v>6</v>
      </c>
    </row>
    <row r="54" spans="2:8" ht="41" customHeight="1" x14ac:dyDescent="0.35">
      <c r="B54" s="149" t="s">
        <v>239</v>
      </c>
      <c r="C54" s="152" t="s">
        <v>240</v>
      </c>
      <c r="D54" s="152"/>
      <c r="E54" s="152"/>
      <c r="F54" s="152"/>
      <c r="G54" s="152"/>
      <c r="H54" s="161">
        <f>E51</f>
        <v>90</v>
      </c>
    </row>
    <row r="55" spans="2:8" ht="41" customHeight="1" x14ac:dyDescent="0.35">
      <c r="B55" s="149" t="s">
        <v>216</v>
      </c>
      <c r="C55" s="152" t="str">
        <f>"Σ Drawn + Σ Credit Conversion Factor × Undrawn = "&amp;TEXT(E51,"₹#,##0.00")&amp;" + "&amp;TEXT(H51-E51,"₹#,##0.00")</f>
        <v>Σ Drawn + Σ Credit Conversion Factor × Undrawn = ₹90.00 + ₹47.00</v>
      </c>
      <c r="D55" s="152"/>
      <c r="E55" s="152"/>
      <c r="F55" s="152"/>
      <c r="G55" s="152"/>
      <c r="H55" s="164">
        <f>H51</f>
        <v>137</v>
      </c>
    </row>
    <row r="56" spans="2:8" ht="41" customHeight="1" x14ac:dyDescent="0.35">
      <c r="B56" s="149" t="s">
        <v>241</v>
      </c>
      <c r="C56" s="152" t="s">
        <v>242</v>
      </c>
      <c r="D56" s="152"/>
      <c r="E56" s="152"/>
      <c r="F56" s="152"/>
      <c r="G56" s="152"/>
      <c r="H56" s="187">
        <f>SUM(E47:E50)+SUMPRODUCT(G47:G50,F47:F50)</f>
        <v>137</v>
      </c>
    </row>
    <row r="57" spans="2:8" ht="69" customHeight="1" x14ac:dyDescent="0.35">
      <c r="B57" s="149" t="s">
        <v>243</v>
      </c>
      <c r="C57" s="152" t="str">
        <f>"Drawn × Probability of Default × Loss Given Default = "&amp;TEXT(H54,"₹#,##0.00")&amp;" × "&amp;TEXT(C15,"0.0%")&amp;" × "&amp;TEXT(C16,"0%")</f>
        <v>Drawn × Probability of Default × Loss Given Default = ₹90.00 × 2.0% × 45%</v>
      </c>
      <c r="D57" s="152"/>
      <c r="E57" s="152"/>
      <c r="F57" s="152"/>
      <c r="G57" s="152"/>
      <c r="H57" s="161">
        <f>H54*$C$15*$C$16</f>
        <v>0.81</v>
      </c>
    </row>
    <row r="58" spans="2:8" ht="69" customHeight="1" x14ac:dyDescent="0.35">
      <c r="B58" s="149" t="s">
        <v>244</v>
      </c>
      <c r="C58" s="152" t="str">
        <f>"Exposure at Default × Probability of Default × Loss Given Default = "&amp;TEXT(H55,"₹#,##0.00")&amp;" × "&amp;TEXT(C15,"0.0%")&amp;" × "&amp;TEXT(C16,"0%")</f>
        <v>Exposure at Default × Probability of Default × Loss Given Default = ₹137.00 × 2.0% × 45%</v>
      </c>
      <c r="D58" s="152"/>
      <c r="E58" s="152"/>
      <c r="F58" s="152"/>
      <c r="G58" s="152"/>
      <c r="H58" s="161">
        <f>H55*$C$15*$C$16</f>
        <v>1.2330000000000001</v>
      </c>
    </row>
    <row r="59" spans="2:8" ht="69" customHeight="1" x14ac:dyDescent="0.35">
      <c r="B59" s="154" t="s">
        <v>245</v>
      </c>
      <c r="C59" s="157" t="s">
        <v>246</v>
      </c>
      <c r="D59" s="157"/>
      <c r="E59" s="157"/>
      <c r="F59" s="157"/>
      <c r="G59" s="157"/>
      <c r="H59" s="188">
        <f>(H55-H54)/H55</f>
        <v>0.34306569343065696</v>
      </c>
    </row>
    <row r="60" spans="2:8" ht="98" customHeight="1" x14ac:dyDescent="0.35">
      <c r="B60" s="166" t="str">
        <f>"Answer: Drawn balances are only "&amp;TEXT(H54,"₹#,##0.00")&amp;" crore, but adjusted exposure is "&amp;TEXT(H55,"₹#,##0.00")&amp;" crore. The unused back-up line alone adds "&amp;TEXT(H50,"₹#,##0.00")&amp;" crore – a facility with zero balance is still risky if it is committed. Using drawn amounts only would understate exposure and Expected Loss by "&amp;TEXT(H59,"0.0%")&amp;"."</f>
        <v>Answer: Drawn balances are only ₹90.00 crore, but adjusted exposure is ₹137.00 crore. The unused back-up line alone adds ₹24.00 crore – a facility with zero balance is still risky if it is committed. Using drawn amounts only would understate exposure and Expected Loss by 34.3%.</v>
      </c>
      <c r="C60" s="167"/>
      <c r="D60" s="167"/>
      <c r="E60" s="167"/>
      <c r="F60" s="167"/>
      <c r="G60" s="167"/>
      <c r="H60" s="168"/>
    </row>
    <row r="61" spans="2:8" x14ac:dyDescent="0.35">
      <c r="B61" s="142"/>
    </row>
    <row r="62" spans="2:8" ht="41" customHeight="1" x14ac:dyDescent="0.35">
      <c r="B62" s="135" t="s">
        <v>247</v>
      </c>
      <c r="C62" s="135"/>
      <c r="D62" s="135"/>
      <c r="E62" s="135"/>
      <c r="F62" s="135"/>
      <c r="G62" s="135"/>
      <c r="H62" s="135"/>
    </row>
    <row r="63" spans="2:8" ht="98" customHeight="1" x14ac:dyDescent="0.35">
      <c r="B63" s="136" t="s">
        <v>248</v>
      </c>
      <c r="C63" s="137"/>
      <c r="D63" s="137"/>
      <c r="E63" s="137"/>
      <c r="F63" s="137"/>
      <c r="G63" s="137"/>
      <c r="H63" s="138"/>
    </row>
    <row r="64" spans="2:8" ht="69" customHeight="1" x14ac:dyDescent="0.35">
      <c r="B64" s="158" t="s">
        <v>249</v>
      </c>
      <c r="C64" s="159"/>
      <c r="D64" s="159"/>
      <c r="E64" s="159"/>
      <c r="F64" s="159"/>
      <c r="G64" s="159"/>
      <c r="H64" s="160"/>
    </row>
    <row r="65" spans="2:8" ht="41" customHeight="1" x14ac:dyDescent="0.35">
      <c r="B65" s="147" t="s">
        <v>5</v>
      </c>
      <c r="C65" s="148" t="s">
        <v>19</v>
      </c>
      <c r="D65" s="148"/>
      <c r="E65" s="148"/>
      <c r="F65" s="148"/>
      <c r="G65" s="148"/>
      <c r="H65" s="147" t="s">
        <v>6</v>
      </c>
    </row>
    <row r="66" spans="2:8" ht="41" customHeight="1" x14ac:dyDescent="0.35">
      <c r="B66" s="149" t="s">
        <v>65</v>
      </c>
      <c r="C66" s="152" t="str">
        <f>"N[ ( N⁻¹("&amp;TEXT(C15,"0.0%")&amp;") + √"&amp;TEXT(C17,"0.00")&amp;" × N⁻¹("&amp;TEXT(C18,"0.0%")&amp;") ) / √(1 − "&amp;TEXT(C17,"0.00")&amp;") ]"</f>
        <v>N[ ( N⁻¹(2.0%) + √0.20 × N⁻¹(99.9%) ) / √(1 − 0.20) ]</v>
      </c>
      <c r="D66" s="152"/>
      <c r="E66" s="152"/>
      <c r="F66" s="152"/>
      <c r="G66" s="152"/>
      <c r="H66" s="189">
        <f>_xlfn.NORM.S.DIST((_xlfn.NORM.S.INV($C$15)+SQRT($C$17)*_xlfn.NORM.S.INV($C$18))/SQRT(1-$C$17),TRUE)</f>
        <v>0.22631280715580149</v>
      </c>
    </row>
    <row r="67" spans="2:8" ht="41" customHeight="1" x14ac:dyDescent="0.35">
      <c r="B67" s="149" t="s">
        <v>250</v>
      </c>
      <c r="C67" s="152" t="str">
        <f>TEXT(H54,"₹#,##0.00")&amp;" × "&amp;TEXT(C16,"0%")&amp;" × ("&amp;TEXT(H66,"0.00%")&amp;" − "&amp;TEXT(C15,"0.0%")&amp;")"</f>
        <v>₹90.00 × 45% × (22.63% − 2.0%)</v>
      </c>
      <c r="D67" s="152"/>
      <c r="E67" s="152"/>
      <c r="F67" s="152"/>
      <c r="G67" s="152"/>
      <c r="H67" s="161">
        <f>H54*$C$16*(H66-$C$15)</f>
        <v>8.3556686898099599</v>
      </c>
    </row>
    <row r="68" spans="2:8" ht="69" customHeight="1" x14ac:dyDescent="0.35">
      <c r="B68" s="162" t="s">
        <v>251</v>
      </c>
      <c r="C68" s="163" t="str">
        <f>TEXT(H55,"₹#,##0.00")&amp;" × "&amp;TEXT(C16,"0%")&amp;" × ("&amp;TEXT(H66,"0.00%")&amp;" − "&amp;TEXT(C15,"0.0%")&amp;")"</f>
        <v>₹137.00 × 45% × (22.63% − 2.0%)</v>
      </c>
      <c r="D68" s="163"/>
      <c r="E68" s="163"/>
      <c r="F68" s="163"/>
      <c r="G68" s="163"/>
      <c r="H68" s="164">
        <f>H55*$C$16*(H66-$C$15)</f>
        <v>12.719184561155162</v>
      </c>
    </row>
    <row r="69" spans="2:8" ht="69" customHeight="1" x14ac:dyDescent="0.35">
      <c r="B69" s="154" t="s">
        <v>252</v>
      </c>
      <c r="C69" s="157" t="s">
        <v>253</v>
      </c>
      <c r="D69" s="157"/>
      <c r="E69" s="157"/>
      <c r="F69" s="157"/>
      <c r="G69" s="157"/>
      <c r="H69" s="165">
        <f>H68-H67</f>
        <v>4.3635158713452018</v>
      </c>
    </row>
    <row r="70" spans="2:8" ht="98" customHeight="1" x14ac:dyDescent="0.35">
      <c r="B70" s="166" t="str">
        <f>"Answer: Worst-Case Default Rate = "&amp;TEXT(H66,"0.00%")&amp;". Credit Value at Risk rises from "&amp;TEXT(H67,"₹#,##0.00")&amp;" crore (drawn only) to "&amp;TEXT(H68,"₹#,##0.00")&amp;" crore on adjusted exposure – an extra "&amp;TEXT(H69,"₹#,##0.00")&amp;" crore of capital. Unused committed lines must be capitalised, because borrowers draw on them exactly when they are heading for default."</f>
        <v>Answer: Worst-Case Default Rate = 22.63%. Credit Value at Risk rises from ₹8.36 crore (drawn only) to ₹12.72 crore on adjusted exposure – an extra ₹4.36 crore of capital. Unused committed lines must be capitalised, because borrowers draw on them exactly when they are heading for default.</v>
      </c>
      <c r="C70" s="167"/>
      <c r="D70" s="167"/>
      <c r="E70" s="167"/>
      <c r="F70" s="167"/>
      <c r="G70" s="167"/>
      <c r="H70" s="168"/>
    </row>
  </sheetData>
  <mergeCells count="57">
    <mergeCell ref="C68:G68"/>
    <mergeCell ref="C69:G69"/>
    <mergeCell ref="B70:H70"/>
    <mergeCell ref="B62:H62"/>
    <mergeCell ref="B63:H63"/>
    <mergeCell ref="B64:H64"/>
    <mergeCell ref="C65:G65"/>
    <mergeCell ref="C66:G66"/>
    <mergeCell ref="C67:G67"/>
    <mergeCell ref="C55:G55"/>
    <mergeCell ref="C56:G56"/>
    <mergeCell ref="C57:G57"/>
    <mergeCell ref="C58:G58"/>
    <mergeCell ref="C59:G59"/>
    <mergeCell ref="B60:H60"/>
    <mergeCell ref="B42:H42"/>
    <mergeCell ref="B44:H44"/>
    <mergeCell ref="B45:H45"/>
    <mergeCell ref="B52:H52"/>
    <mergeCell ref="C53:G53"/>
    <mergeCell ref="C54:G54"/>
    <mergeCell ref="C36:G36"/>
    <mergeCell ref="C37:G37"/>
    <mergeCell ref="C38:G38"/>
    <mergeCell ref="C39:G39"/>
    <mergeCell ref="C40:G40"/>
    <mergeCell ref="C41:G41"/>
    <mergeCell ref="C29:G29"/>
    <mergeCell ref="C30:G30"/>
    <mergeCell ref="B31:H31"/>
    <mergeCell ref="B33:H33"/>
    <mergeCell ref="B34:H34"/>
    <mergeCell ref="B35:H35"/>
    <mergeCell ref="D23:H23"/>
    <mergeCell ref="D24:H24"/>
    <mergeCell ref="B25:H25"/>
    <mergeCell ref="C26:G26"/>
    <mergeCell ref="C27:G27"/>
    <mergeCell ref="C28:G28"/>
    <mergeCell ref="D16:H16"/>
    <mergeCell ref="D17:H17"/>
    <mergeCell ref="D18:H18"/>
    <mergeCell ref="B20:H20"/>
    <mergeCell ref="B21:H21"/>
    <mergeCell ref="D22:H22"/>
    <mergeCell ref="B9:H9"/>
    <mergeCell ref="B11:H11"/>
    <mergeCell ref="D12:H12"/>
    <mergeCell ref="D13:H13"/>
    <mergeCell ref="D14:H14"/>
    <mergeCell ref="D15:H15"/>
    <mergeCell ref="B1:H1"/>
    <mergeCell ref="B2:H2"/>
    <mergeCell ref="B4:H4"/>
    <mergeCell ref="B5:H5"/>
    <mergeCell ref="B6:H6"/>
    <mergeCell ref="B8:H8"/>
  </mergeCells>
  <dataValidations count="1">
    <dataValidation type="list" allowBlank="1" showInputMessage="1" showErrorMessage="1" sqref="C47:C50" xr:uid="{FF33B0EB-B5B4-F74A-9273-17CF0240323C}">
      <formula1>"Term loan,Committed,Uncommitted"</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Simple Credit VaR</vt:lpstr>
      <vt:lpstr>Credit VaR Examples</vt:lpstr>
      <vt:lpstr>Credit VaR &amp; WCDR Q&amp;A</vt:lpstr>
      <vt:lpstr>Adjusted Exposure Examples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Ravichandran Vaidyanathan</dc:creator>
  <cp:lastModifiedBy>Ravichandran Vaidyanathan</cp:lastModifiedBy>
  <dcterms:created xsi:type="dcterms:W3CDTF">2026-10-03T04:15:21Z</dcterms:created>
  <dcterms:modified xsi:type="dcterms:W3CDTF">2026-10-03T04:15:48Z</dcterms:modified>
</cp:coreProperties>
</file>